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ágina inicial" sheetId="1" r:id="rId4"/>
    <sheet state="visible" name="Ciências Agrárias" sheetId="2" r:id="rId5"/>
    <sheet state="visible" name="Ciências Biológicas" sheetId="3" r:id="rId6"/>
    <sheet state="visible" name="Ciências da Saúde" sheetId="4" r:id="rId7"/>
    <sheet state="visible" name="Ciências Exatas e da Terra" sheetId="5" r:id="rId8"/>
    <sheet state="visible" name="Ciências Humanas" sheetId="6" r:id="rId9"/>
    <sheet state="visible" name="Ciências Sociais Aplicadas" sheetId="7" r:id="rId10"/>
    <sheet state="visible" name="Engenharias" sheetId="8" r:id="rId11"/>
    <sheet state="visible" name="Lingüística, Letras e Artes" sheetId="9" r:id="rId12"/>
    <sheet state="visible" name="Internacionais" sheetId="10" r:id="rId13"/>
  </sheets>
  <definedNames/>
  <calcPr/>
</workbook>
</file>

<file path=xl/sharedStrings.xml><?xml version="1.0" encoding="utf-8"?>
<sst xmlns="http://schemas.openxmlformats.org/spreadsheetml/2006/main" count="269" uniqueCount="206">
  <si>
    <t>E-books gratuitos de editoras universitárias</t>
  </si>
  <si>
    <r>
      <t xml:space="preserve">Nesta planilha estão listados os livros eletrônicos (e-books) de acesso gratuito publicados pelas principais editoras universitárias brasileiras. Consulte a lista por </t>
    </r>
    <r>
      <rPr>
        <b/>
      </rPr>
      <t>área do conhecimento</t>
    </r>
    <r>
      <t xml:space="preserve"> ou </t>
    </r>
    <r>
      <rPr>
        <b/>
      </rPr>
      <t>pesquise utilizando o atalho Ctrl + F</t>
    </r>
    <r>
      <t xml:space="preserve">. Se preferir, faça download da planilha no menu </t>
    </r>
    <r>
      <rPr>
        <b/>
      </rPr>
      <t>Arquivo</t>
    </r>
    <r>
      <t xml:space="preserve"> &gt; </t>
    </r>
    <r>
      <rPr>
        <b/>
      </rPr>
      <t>Fazer</t>
    </r>
    <r>
      <t xml:space="preserve"> </t>
    </r>
    <r>
      <rPr>
        <b/>
      </rPr>
      <t>download</t>
    </r>
    <r>
      <t>.</t>
    </r>
  </si>
  <si>
    <t>Ciências Agrárias</t>
  </si>
  <si>
    <t>Agronomia. Recursos Florestais e Engenharia Florestal. Engenharia Agrícola. Zootecnia. Medicina Veterinária. Recursos Pesqueiros e Engenharia de Pesca. Ciência e Tecnologia de Alimentos.</t>
  </si>
  <si>
    <t>Ciências Biológicas</t>
  </si>
  <si>
    <t>Biologia Geral. Genética. Botânica. Zoologia. Ecologia. Morfologia. Fisiologia. Bioquímica. Biofísica. Farmacologia. Imunologia. Microbiologia. Parasitologia.</t>
  </si>
  <si>
    <t>Ciências da Saúde</t>
  </si>
  <si>
    <t>Medicina. Odontologia. Farmácia. Enfermagem. Nutrição. Saúde Coletiva. Fonoaudiologia. Fisioterapia e Terapia Ocupacional. Educação Física.</t>
  </si>
  <si>
    <t>Ciências Exatas e da Terra</t>
  </si>
  <si>
    <t>Matemática. Probabilidade e Estatística. Ciência da Computação. Astronomia. Física. Química. Geociências. Oceanografia.</t>
  </si>
  <si>
    <t>Ciências Humanas</t>
  </si>
  <si>
    <t>Filosofia. Sociologia. Antropologia. Arqueologia. História. Geografia. Psicologia. Educação. Ciência Política. Teologia.</t>
  </si>
  <si>
    <t>Ciências Sociais Aplicadas</t>
  </si>
  <si>
    <t>Direito. Administração. Economia. Arquitetura e Urbanismo. Planejamento Urbano e Regional. Demografia. Ciência da Informação. Biblioteconomia. Arquivologia. Museologia. Comunicação. Serviço Social. Economia Doméstica. Desenho Industrial. Turismo.</t>
  </si>
  <si>
    <t>Engenharias</t>
  </si>
  <si>
    <t>Engenharia Civil. Engenharia de Minas. Engenharia de Materiais e Metalúrgica. Engenharia Elétrica. Engenharia Mecânica. Engenharia Química. Engenharia Sanitária. Engenharia de Produção. Engenharia Nuclear. Engenharia de Transportes. Engenharia Naval e Oceânica. Engenharia Aeroespacial. Engenharia Biomédica</t>
  </si>
  <si>
    <t>Linguística, Letras e Artes</t>
  </si>
  <si>
    <t>Linguística. Letras. Artes. Música. Cinema. Dança. Fotografia.</t>
  </si>
  <si>
    <t>Consulte também:</t>
  </si>
  <si>
    <t>Coleções de e-books disponibilizadas pela BU/UFSC</t>
  </si>
  <si>
    <r>
      <t xml:space="preserve">Elaborado pelo </t>
    </r>
    <r>
      <rPr>
        <color rgb="FF1155CC"/>
        <u/>
      </rPr>
      <t>BU/UFSC</t>
    </r>
    <r>
      <t xml:space="preserve"> em parceria com o </t>
    </r>
    <r>
      <rPr>
        <color rgb="FF1155CC"/>
        <u/>
      </rPr>
      <t>SiBI/UFRJ</t>
    </r>
    <r>
      <t>.
Contato: decti.bu@contato.ufsc.br. Última atualização: 25/09/2020 - 2.350 títulos</t>
    </r>
  </si>
  <si>
    <t>Coleções internacionais (DOAB e Open Research Library)</t>
  </si>
  <si>
    <t>SciELO Livros</t>
  </si>
  <si>
    <t>Título: subtítulo</t>
  </si>
  <si>
    <t>Autor(es) / Organizador(es)</t>
  </si>
  <si>
    <t>Cidade</t>
  </si>
  <si>
    <t>Editora</t>
  </si>
  <si>
    <t>Ano</t>
  </si>
  <si>
    <t>Palavras-chave</t>
  </si>
  <si>
    <t>ISBN</t>
  </si>
  <si>
    <t>Link</t>
  </si>
  <si>
    <t>Área do conhecimento</t>
  </si>
  <si>
    <t>Agriculture and Food Sciences</t>
  </si>
  <si>
    <t>Antiques &amp; Collectibles</t>
  </si>
  <si>
    <t xml:space="preserve">Agriculture (General) </t>
  </si>
  <si>
    <t>Architecture</t>
  </si>
  <si>
    <t xml:space="preserve">Animal Sciences </t>
  </si>
  <si>
    <t>Art</t>
  </si>
  <si>
    <t xml:space="preserve">Aquaculture and Fisheries </t>
  </si>
  <si>
    <t>Biography &amp; Autobiography</t>
  </si>
  <si>
    <t xml:space="preserve">Forestry </t>
  </si>
  <si>
    <t>Body, Mind &amp; Spirit</t>
  </si>
  <si>
    <t xml:space="preserve">Nutrition and Food Sciences </t>
  </si>
  <si>
    <t>Business &amp; Economics</t>
  </si>
  <si>
    <t xml:space="preserve">Plant Sciences </t>
  </si>
  <si>
    <t>Comics &amp; Graphic Novels</t>
  </si>
  <si>
    <t>Arts and Architecture</t>
  </si>
  <si>
    <t>Computers</t>
  </si>
  <si>
    <t xml:space="preserve">Architecture </t>
  </si>
  <si>
    <t>Cooking</t>
  </si>
  <si>
    <t xml:space="preserve">Arts in general </t>
  </si>
  <si>
    <t>Design</t>
  </si>
  <si>
    <t xml:space="preserve">History of arts </t>
  </si>
  <si>
    <t>Drama</t>
  </si>
  <si>
    <t xml:space="preserve">Music </t>
  </si>
  <si>
    <t>Education</t>
  </si>
  <si>
    <t xml:space="preserve">Performing Arts </t>
  </si>
  <si>
    <t>Family &amp; Relationships</t>
  </si>
  <si>
    <t xml:space="preserve">Visual Arts </t>
  </si>
  <si>
    <t>Fiction</t>
  </si>
  <si>
    <t>Biology and Life Sciences</t>
  </si>
  <si>
    <t>Foreign Language Study</t>
  </si>
  <si>
    <t xml:space="preserve">Biology </t>
  </si>
  <si>
    <t>Games</t>
  </si>
  <si>
    <t xml:space="preserve">Anatomy </t>
  </si>
  <si>
    <t>Gardening</t>
  </si>
  <si>
    <t xml:space="preserve">Botany </t>
  </si>
  <si>
    <t>Health &amp; Fitness</t>
  </si>
  <si>
    <t xml:space="preserve">Cytology </t>
  </si>
  <si>
    <t>History</t>
  </si>
  <si>
    <t xml:space="preserve">Genetics </t>
  </si>
  <si>
    <t>Juvenile Fiction</t>
  </si>
  <si>
    <t xml:space="preserve">Microbiology </t>
  </si>
  <si>
    <t>Juvenile Nonfiction</t>
  </si>
  <si>
    <t xml:space="preserve">Physiology </t>
  </si>
  <si>
    <t>Language Arts &amp; Disciplines</t>
  </si>
  <si>
    <t xml:space="preserve">Zoology </t>
  </si>
  <si>
    <t>Law</t>
  </si>
  <si>
    <t>Life Sciences</t>
  </si>
  <si>
    <t>Literary Collections</t>
  </si>
  <si>
    <t xml:space="preserve">Biochemistry </t>
  </si>
  <si>
    <t>Literary Criticism</t>
  </si>
  <si>
    <t xml:space="preserve">Biotechnology </t>
  </si>
  <si>
    <t>Mathematics</t>
  </si>
  <si>
    <t>Business and Economics</t>
  </si>
  <si>
    <t>Medical</t>
  </si>
  <si>
    <t xml:space="preserve">Business and Management </t>
  </si>
  <si>
    <t>Music</t>
  </si>
  <si>
    <t xml:space="preserve">Economics </t>
  </si>
  <si>
    <t>Nature</t>
  </si>
  <si>
    <t>Chemistry</t>
  </si>
  <si>
    <t>Performing Arts</t>
  </si>
  <si>
    <t xml:space="preserve">Analytical Chemistry </t>
  </si>
  <si>
    <t>Philosophy</t>
  </si>
  <si>
    <t xml:space="preserve">Chemical Engineering </t>
  </si>
  <si>
    <t>Photography</t>
  </si>
  <si>
    <t xml:space="preserve">Chemistry (General) </t>
  </si>
  <si>
    <t>Poetry</t>
  </si>
  <si>
    <t xml:space="preserve">Inorganic Chemistry </t>
  </si>
  <si>
    <t>Political Science</t>
  </si>
  <si>
    <t xml:space="preserve">Organic Chemistry </t>
  </si>
  <si>
    <t>Psychology</t>
  </si>
  <si>
    <t>Earth and Environmental Sciences</t>
  </si>
  <si>
    <t>Reference</t>
  </si>
  <si>
    <t xml:space="preserve">Earth Sciences </t>
  </si>
  <si>
    <t>Religion</t>
  </si>
  <si>
    <t xml:space="preserve">Ecology </t>
  </si>
  <si>
    <t>Science</t>
  </si>
  <si>
    <t xml:space="preserve">Environmental Sciences </t>
  </si>
  <si>
    <t>Social Science</t>
  </si>
  <si>
    <t xml:space="preserve">Geography </t>
  </si>
  <si>
    <t>Sports &amp; Recreation</t>
  </si>
  <si>
    <t xml:space="preserve">Geology </t>
  </si>
  <si>
    <t>Technology &amp; Engineering</t>
  </si>
  <si>
    <t xml:space="preserve">Geophysics and Geomagnetism </t>
  </si>
  <si>
    <t>Transportation</t>
  </si>
  <si>
    <t xml:space="preserve">Meteorology and Climatology </t>
  </si>
  <si>
    <t>Travel</t>
  </si>
  <si>
    <t xml:space="preserve">Oceanography </t>
  </si>
  <si>
    <t>General Works</t>
  </si>
  <si>
    <t xml:space="preserve">Multidisciplinary </t>
  </si>
  <si>
    <t>Health Sciences</t>
  </si>
  <si>
    <t xml:space="preserve">Dentistry </t>
  </si>
  <si>
    <t xml:space="preserve">Medicine (General) </t>
  </si>
  <si>
    <t xml:space="preserve">Allergy and Immunology </t>
  </si>
  <si>
    <t xml:space="preserve">Anesthesiology </t>
  </si>
  <si>
    <t xml:space="preserve">Cardiovascular </t>
  </si>
  <si>
    <t xml:space="preserve">Dermatology </t>
  </si>
  <si>
    <t xml:space="preserve">Gastroenterology </t>
  </si>
  <si>
    <t xml:space="preserve">Gynecology and Obstetrics </t>
  </si>
  <si>
    <t xml:space="preserve">Internal medicine </t>
  </si>
  <si>
    <t xml:space="preserve">Medical technology </t>
  </si>
  <si>
    <t xml:space="preserve">Neurology </t>
  </si>
  <si>
    <t xml:space="preserve">Oncology </t>
  </si>
  <si>
    <t xml:space="preserve">Ophthalmology </t>
  </si>
  <si>
    <t xml:space="preserve">Otorhinolaryngology </t>
  </si>
  <si>
    <t xml:space="preserve">Pathology </t>
  </si>
  <si>
    <t xml:space="preserve">Pediatrics </t>
  </si>
  <si>
    <t xml:space="preserve">Pharmacy and materia medica </t>
  </si>
  <si>
    <t xml:space="preserve">Psychiatry </t>
  </si>
  <si>
    <t xml:space="preserve">Sports Medicine </t>
  </si>
  <si>
    <t xml:space="preserve">Surgery </t>
  </si>
  <si>
    <t xml:space="preserve">Therapeutics </t>
  </si>
  <si>
    <t xml:space="preserve">Urology </t>
  </si>
  <si>
    <t xml:space="preserve">Nursing </t>
  </si>
  <si>
    <t xml:space="preserve">Public Health </t>
  </si>
  <si>
    <t>History and Archaeology</t>
  </si>
  <si>
    <t xml:space="preserve">Archaeology </t>
  </si>
  <si>
    <t xml:space="preserve">Diplomatics. Archives. Seals </t>
  </si>
  <si>
    <t xml:space="preserve">History </t>
  </si>
  <si>
    <t>Languages and Literatures</t>
  </si>
  <si>
    <t xml:space="preserve">Languages and Literatures </t>
  </si>
  <si>
    <t xml:space="preserve">Linguistics </t>
  </si>
  <si>
    <t>Law and Political Science</t>
  </si>
  <si>
    <t xml:space="preserve">Law </t>
  </si>
  <si>
    <t xml:space="preserve">Political Science </t>
  </si>
  <si>
    <t>Mathematics and Statistics</t>
  </si>
  <si>
    <t xml:space="preserve">Mathematics </t>
  </si>
  <si>
    <t xml:space="preserve">Statistics </t>
  </si>
  <si>
    <t>Philosophy and Religion</t>
  </si>
  <si>
    <t xml:space="preserve">Philosophy </t>
  </si>
  <si>
    <t xml:space="preserve">Religion </t>
  </si>
  <si>
    <t xml:space="preserve">The Bible </t>
  </si>
  <si>
    <t>Physics and Astronomy</t>
  </si>
  <si>
    <t xml:space="preserve">Astronomy (General) </t>
  </si>
  <si>
    <t xml:space="preserve">Physics (General) </t>
  </si>
  <si>
    <t xml:space="preserve">Acoustics </t>
  </si>
  <si>
    <t xml:space="preserve">Electricity </t>
  </si>
  <si>
    <t xml:space="preserve">Heat </t>
  </si>
  <si>
    <t xml:space="preserve">Mechanics </t>
  </si>
  <si>
    <t xml:space="preserve">Nuclear Physics </t>
  </si>
  <si>
    <t xml:space="preserve">Optics and Lights </t>
  </si>
  <si>
    <t>Science General</t>
  </si>
  <si>
    <t xml:space="preserve">Information theory </t>
  </si>
  <si>
    <t xml:space="preserve">Science (General) </t>
  </si>
  <si>
    <t>Social Sciences</t>
  </si>
  <si>
    <t xml:space="preserve">Anthropology </t>
  </si>
  <si>
    <t xml:space="preserve">Education </t>
  </si>
  <si>
    <t xml:space="preserve">Ethnology </t>
  </si>
  <si>
    <t xml:space="preserve">Gender Studies </t>
  </si>
  <si>
    <t xml:space="preserve">Library and Information Science </t>
  </si>
  <si>
    <t xml:space="preserve">Bibliography </t>
  </si>
  <si>
    <t xml:space="preserve">Media and communication </t>
  </si>
  <si>
    <t xml:space="preserve">Psychology </t>
  </si>
  <si>
    <t xml:space="preserve">Social Sciences </t>
  </si>
  <si>
    <t xml:space="preserve">Migration </t>
  </si>
  <si>
    <t xml:space="preserve">Sociology </t>
  </si>
  <si>
    <t xml:space="preserve">Social and Public Welfare </t>
  </si>
  <si>
    <t xml:space="preserve">Sports Science </t>
  </si>
  <si>
    <t>Technology and Engineering</t>
  </si>
  <si>
    <t xml:space="preserve">Chemical Technology </t>
  </si>
  <si>
    <t xml:space="preserve">Computer Science </t>
  </si>
  <si>
    <t xml:space="preserve">Construction </t>
  </si>
  <si>
    <t xml:space="preserve">Electrical and Nuclear Engineering </t>
  </si>
  <si>
    <t xml:space="preserve">Environmental Engineering </t>
  </si>
  <si>
    <t xml:space="preserve">Environmental Technology </t>
  </si>
  <si>
    <t xml:space="preserve">General and Civil Engineering </t>
  </si>
  <si>
    <t xml:space="preserve">Hydraulic Engineering </t>
  </si>
  <si>
    <t xml:space="preserve">Industrial Engineering </t>
  </si>
  <si>
    <t xml:space="preserve">Manufactures </t>
  </si>
  <si>
    <t xml:space="preserve">Materials </t>
  </si>
  <si>
    <t xml:space="preserve">Mechanical Engineering </t>
  </si>
  <si>
    <t xml:space="preserve">Military Science </t>
  </si>
  <si>
    <t xml:space="preserve">Mining and Metallurgy </t>
  </si>
  <si>
    <t xml:space="preserve">Technology (General) </t>
  </si>
  <si>
    <t xml:space="preserve">Transportation </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</si>
</sst>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font>
    <font>
      <b/>
      <sz val="18.0"/>
      <color theme="1"/>
      <name val="Arial"/>
    </font>
    <font>
      <sz val="11.0"/>
      <color theme="1"/>
      <name val="Arial"/>
    </font>
    <font>
      <sz val="12.0"/>
      <color theme="1"/>
      <name val="Arial"/>
    </font>
    <font>
      <color theme="1"/>
      <name val="Arial"/>
    </font>
    <font>
      <u/>
      <sz val="12.0"/>
      <color rgb="FF1155CC"/>
    </font>
    <font>
      <u/>
      <sz val="12.0"/>
      <color rgb="FF1155CC"/>
    </font>
    <font>
      <b/>
      <sz val="11.0"/>
      <color theme="1"/>
      <name val="Arial"/>
    </font>
    <font>
      <sz val="10.0"/>
      <color theme="1"/>
      <name val="Arial"/>
    </font>
    <font>
      <u/>
      <sz val="10.0"/>
      <color rgb="FF1155CC"/>
    </font>
    <font/>
    <font>
      <u/>
      <sz val="10.0"/>
      <color rgb="FF0000FF"/>
    </font>
    <font>
      <u/>
      <sz val="10.0"/>
      <color rgb="FF1155CC"/>
    </font>
    <font>
      <u/>
      <sz val="10.0"/>
      <color rgb="FF1155CC"/>
    </font>
    <font>
      <b/>
      <sz val="10.0"/>
      <color rgb="FFFFFFFF"/>
      <name val="Arial"/>
    </font>
    <font>
      <u/>
      <sz val="10.0"/>
      <color rgb="FF1155CC"/>
      <name val="Arial"/>
    </font>
    <font>
      <u/>
      <sz val="10.0"/>
      <color rgb="FF0000FF"/>
    </font>
    <font>
      <u/>
      <sz val="10.0"/>
      <color rgb="FF1155CC"/>
    </font>
    <font>
      <sz val="10.0"/>
      <color rgb="FF000000"/>
    </font>
    <font>
      <u/>
      <sz val="10.0"/>
      <color rgb="FF0000FF"/>
    </font>
    <font>
      <u/>
      <sz val="10.0"/>
      <color rgb="FF0000FF"/>
      <name val="Arial"/>
    </font>
    <font>
      <b/>
      <u/>
      <color rgb="FF0000FF"/>
    </font>
    <font>
      <u/>
      <color rgb="FF0000FF"/>
    </font>
    <font>
      <u/>
      <color rgb="FF0000FF"/>
    </font>
  </fonts>
  <fills count="6">
    <fill>
      <patternFill patternType="none"/>
    </fill>
    <fill>
      <patternFill patternType="lightGray"/>
    </fill>
    <fill>
      <patternFill patternType="solid">
        <fgColor rgb="FFF3F3F3"/>
        <bgColor rgb="FFF3F3F3"/>
      </patternFill>
    </fill>
    <fill>
      <patternFill patternType="solid">
        <fgColor rgb="FFFFFFFF"/>
        <bgColor rgb="FFFFFFFF"/>
      </patternFill>
    </fill>
    <fill>
      <patternFill patternType="solid">
        <fgColor rgb="FFFFD400"/>
        <bgColor rgb="FFFFD400"/>
      </patternFill>
    </fill>
    <fill>
      <patternFill patternType="solid">
        <fgColor rgb="FF007AC3"/>
        <bgColor rgb="FF007AC3"/>
      </patternFill>
    </fill>
  </fills>
  <borders count="7">
    <border/>
    <border>
      <left style="thick">
        <color rgb="FFFFD400"/>
      </left>
      <top style="thick">
        <color rgb="FFFFD400"/>
      </top>
    </border>
    <border>
      <right style="thick">
        <color rgb="FFFFD400"/>
      </right>
      <top style="thick">
        <color rgb="FFFFD400"/>
      </top>
    </border>
    <border>
      <left style="thick">
        <color rgb="FFFFD400"/>
      </left>
    </border>
    <border>
      <right style="thick">
        <color rgb="FFFFD400"/>
      </right>
    </border>
    <border>
      <left style="thick">
        <color rgb="FFFFD400"/>
      </left>
      <bottom style="thick">
        <color rgb="FFFFD400"/>
      </bottom>
    </border>
    <border>
      <right style="thick">
        <color rgb="FFFFD400"/>
      </right>
      <bottom style="thick">
        <color rgb="FFFFD4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2" numFmtId="0" xfId="0" applyAlignment="1" applyFont="1">
      <alignment readingOrder="0" shrinkToFit="0" wrapText="1"/>
    </xf>
    <xf borderId="0" fillId="0" fontId="3" numFmtId="0" xfId="0" applyAlignment="1" applyFont="1">
      <alignment readingOrder="0"/>
    </xf>
    <xf borderId="0" fillId="0" fontId="4" numFmtId="0" xfId="0" applyAlignment="1" applyFont="1">
      <alignment vertical="center"/>
    </xf>
    <xf borderId="0" fillId="2" fontId="5" numFmtId="0" xfId="0" applyAlignment="1" applyFill="1" applyFont="1">
      <alignment readingOrder="0" vertical="center"/>
    </xf>
    <xf borderId="0" fillId="2" fontId="4" numFmtId="0" xfId="0" applyAlignment="1" applyFont="1">
      <alignment readingOrder="0" shrinkToFit="0" vertical="center" wrapText="1"/>
    </xf>
    <xf borderId="0" fillId="3" fontId="6" numFmtId="0" xfId="0" applyAlignment="1" applyFill="1" applyFont="1">
      <alignment readingOrder="0" vertical="center"/>
    </xf>
    <xf borderId="0" fillId="3" fontId="4" numFmtId="0" xfId="0" applyAlignment="1" applyFont="1">
      <alignment readingOrder="0" shrinkToFit="0" vertical="center" wrapText="1"/>
    </xf>
    <xf borderId="0" fillId="0" fontId="3" numFmtId="0" xfId="0" applyFont="1"/>
    <xf borderId="0" fillId="4" fontId="7" numFmtId="0" xfId="0" applyAlignment="1" applyFill="1" applyFont="1">
      <alignment horizontal="center" readingOrder="0"/>
    </xf>
    <xf borderId="0" fillId="0" fontId="8" numFmtId="0" xfId="0" applyFont="1"/>
    <xf borderId="1" fillId="0" fontId="9" numFmtId="0" xfId="0" applyAlignment="1" applyBorder="1" applyFont="1">
      <alignment readingOrder="0"/>
    </xf>
    <xf borderId="2" fillId="0" fontId="10" numFmtId="0" xfId="0" applyBorder="1" applyFont="1"/>
    <xf borderId="0" fillId="0" fontId="11" numFmtId="0" xfId="0" applyAlignment="1" applyFont="1">
      <alignment horizontal="right" readingOrder="0" shrinkToFit="0" vertical="center" wrapText="0"/>
    </xf>
    <xf borderId="3" fillId="0" fontId="12" numFmtId="0" xfId="0" applyAlignment="1" applyBorder="1" applyFont="1">
      <alignment readingOrder="0"/>
    </xf>
    <xf borderId="4" fillId="0" fontId="10" numFmtId="0" xfId="0" applyBorder="1" applyFont="1"/>
    <xf borderId="5" fillId="0" fontId="13" numFmtId="0" xfId="0" applyAlignment="1" applyBorder="1" applyFont="1">
      <alignment readingOrder="0"/>
    </xf>
    <xf borderId="6" fillId="0" fontId="10" numFmtId="0" xfId="0" applyBorder="1" applyFont="1"/>
    <xf borderId="0" fillId="5" fontId="14" numFmtId="0" xfId="0" applyAlignment="1" applyFill="1" applyFont="1">
      <alignment horizontal="center" shrinkToFit="0" vertical="center" wrapText="1"/>
    </xf>
    <xf borderId="0" fillId="5" fontId="14" numFmtId="0" xfId="0" applyAlignment="1" applyFont="1">
      <alignment horizontal="center" shrinkToFit="0" vertical="center" wrapText="1"/>
    </xf>
    <xf borderId="0" fillId="5" fontId="14" numFmtId="0" xfId="0" applyAlignment="1" applyFont="1">
      <alignment horizontal="center" readingOrder="0" shrinkToFit="0" vertical="center" wrapText="1"/>
    </xf>
    <xf borderId="0" fillId="5" fontId="14" numFmtId="0" xfId="0" applyAlignment="1" applyFont="1">
      <alignment horizontal="center" readingOrder="0" shrinkToFit="0" vertical="center" wrapText="0"/>
    </xf>
    <xf borderId="0" fillId="5" fontId="14" numFmtId="0" xfId="0" applyAlignment="1" applyFont="1">
      <alignment horizontal="center" shrinkToFit="0" vertical="center" wrapText="0"/>
    </xf>
    <xf borderId="0" fillId="0" fontId="8" numFmtId="0" xfId="0" applyAlignment="1" applyFont="1">
      <alignment readingOrder="0" shrinkToFit="0" vertical="center" wrapText="1"/>
    </xf>
    <xf borderId="0" fillId="0" fontId="8" numFmtId="0" xfId="0" applyAlignment="1" applyFont="1">
      <alignment horizontal="center" readingOrder="0" shrinkToFit="0" vertical="center" wrapText="1"/>
    </xf>
    <xf borderId="0" fillId="0" fontId="4" numFmtId="0" xfId="0" applyAlignment="1" applyFont="1">
      <alignment vertical="center"/>
    </xf>
    <xf borderId="0" fillId="0" fontId="15" numFmtId="0" xfId="0" applyAlignment="1" applyFont="1">
      <alignment readingOrder="0" shrinkToFit="0" vertical="center" wrapText="0"/>
    </xf>
    <xf borderId="0" fillId="0" fontId="4" numFmtId="49" xfId="0" applyAlignment="1" applyFont="1" applyNumberFormat="1">
      <alignment vertical="center"/>
    </xf>
    <xf borderId="0" fillId="0" fontId="16" numFmtId="0" xfId="0" applyAlignment="1" applyFont="1">
      <alignment readingOrder="0" shrinkToFit="0" vertical="center" wrapText="0"/>
    </xf>
    <xf borderId="0" fillId="0" fontId="8" numFmtId="49" xfId="0" applyAlignment="1" applyFont="1" applyNumberFormat="1">
      <alignment readingOrder="0" shrinkToFit="0" vertical="center" wrapText="0"/>
    </xf>
    <xf borderId="0" fillId="0" fontId="8" numFmtId="0" xfId="0" applyAlignment="1" applyFont="1">
      <alignment readingOrder="0" shrinkToFit="0" vertical="center" wrapText="0"/>
    </xf>
    <xf borderId="0" fillId="0" fontId="17" numFmtId="0" xfId="0" applyAlignment="1" applyFont="1">
      <alignment readingOrder="0" shrinkToFit="0" vertical="center" wrapText="0"/>
    </xf>
    <xf borderId="0" fillId="2" fontId="18" numFmtId="0" xfId="0" applyAlignment="1" applyFont="1">
      <alignment readingOrder="0" shrinkToFit="0" vertical="center" wrapText="0"/>
    </xf>
    <xf borderId="0" fillId="0" fontId="19" numFmtId="0" xfId="0" applyAlignment="1" applyFont="1">
      <alignment readingOrder="0" shrinkToFit="0" vertical="center" wrapText="0"/>
    </xf>
    <xf borderId="0" fillId="0" fontId="8" numFmtId="0" xfId="0" applyAlignment="1" applyFont="1">
      <alignment readingOrder="0" shrinkToFit="0" vertical="top" wrapText="1"/>
    </xf>
    <xf borderId="0" fillId="0" fontId="20" numFmtId="0" xfId="0" applyAlignment="1" applyFont="1">
      <alignment readingOrder="0" shrinkToFit="0" vertical="center" wrapText="0"/>
    </xf>
    <xf borderId="0" fillId="0" fontId="8" numFmtId="0" xfId="0" applyAlignment="1" applyFont="1">
      <alignment shrinkToFit="0" vertical="center" wrapText="1"/>
    </xf>
    <xf borderId="0" fillId="0" fontId="21" numFmtId="0" xfId="0" applyFont="1"/>
    <xf borderId="0" fillId="0" fontId="22" numFmtId="0" xfId="0" applyFont="1"/>
    <xf borderId="0" fillId="0" fontId="23" numFmtId="0" xfId="0" applyAlignment="1" applyFont="1">
      <alignment readingOrder="0"/>
    </xf>
  </cellXfs>
  <cellStyles count="1">
    <cellStyle xfId="0" name="Normal" builtinId="0"/>
  </cellStyles>
  <dxfs count="3">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8">
    <tableStyle count="2" pivot="0" name="Ciências Agrárias-style">
      <tableStyleElement dxfId="1" type="firstRowStripe"/>
      <tableStyleElement dxfId="2" type="secondRowStripe"/>
    </tableStyle>
    <tableStyle count="2" pivot="0" name="Ciências Biológicas-style">
      <tableStyleElement dxfId="1" type="firstRowStripe"/>
      <tableStyleElement dxfId="2" type="secondRowStripe"/>
    </tableStyle>
    <tableStyle count="2" pivot="0" name="Ciências da Saúde-style">
      <tableStyleElement dxfId="1" type="firstRowStripe"/>
      <tableStyleElement dxfId="2" type="secondRowStripe"/>
    </tableStyle>
    <tableStyle count="2" pivot="0" name="Ciências Exatas e da Terra-style">
      <tableStyleElement dxfId="1" type="firstRowStripe"/>
      <tableStyleElement dxfId="2" type="secondRowStripe"/>
    </tableStyle>
    <tableStyle count="2" pivot="0" name="Ciências Humanas-style">
      <tableStyleElement dxfId="1" type="firstRowStripe"/>
      <tableStyleElement dxfId="2" type="secondRowStripe"/>
    </tableStyle>
    <tableStyle count="2" pivot="0" name="Ciências Sociais Aplicadas-style">
      <tableStyleElement dxfId="1" type="firstRowStripe"/>
      <tableStyleElement dxfId="2" type="secondRowStripe"/>
    </tableStyle>
    <tableStyle count="2" pivot="0" name="Engenharias-style">
      <tableStyleElement dxfId="1" type="firstRowStripe"/>
      <tableStyleElement dxfId="2" type="secondRowStripe"/>
    </tableStyle>
    <tableStyle count="2" pivot="0" name="Lingüística, Letras e Artes-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752475</xdr:colOff>
      <xdr:row>0</xdr:row>
      <xdr:rowOff>0</xdr:rowOff>
    </xdr:from>
    <xdr:ext cx="1752600" cy="819150"/>
    <xdr:pic>
      <xdr:nvPicPr>
        <xdr:cNvPr descr="Biblioteca Universitária (BU/UFSC)" id="0" name="image2.png" title="Imagem"/>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66675</xdr:colOff>
      <xdr:row>16</xdr:row>
      <xdr:rowOff>38100</xdr:rowOff>
    </xdr:from>
    <xdr:ext cx="876300" cy="304800"/>
    <xdr:pic>
      <xdr:nvPicPr>
        <xdr:cNvPr id="0" name="image1.png" title="Imagem"/>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47625</xdr:colOff>
      <xdr:row>0</xdr:row>
      <xdr:rowOff>200025</xdr:rowOff>
    </xdr:from>
    <xdr:ext cx="3352800" cy="1104900"/>
    <xdr:pic>
      <xdr:nvPicPr>
        <xdr:cNvPr descr="Directory of Open Access Books" id="0" name="image3.png" title="Imagem"/>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19050</xdr:colOff>
      <xdr:row>0</xdr:row>
      <xdr:rowOff>200025</xdr:rowOff>
    </xdr:from>
    <xdr:ext cx="2305050" cy="1104900"/>
    <xdr:pic>
      <xdr:nvPicPr>
        <xdr:cNvPr descr="Open Research Library" id="0" name="image4.png" title="Imagem"/>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2:I107" displayName="Table_1" id="1">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Agrárias-style" showColumnStripes="0" showFirstColumn="1" showLastColumn="1" showRowStripes="1"/>
</table>
</file>

<file path=xl/tables/table2.xml><?xml version="1.0" encoding="utf-8"?>
<table xmlns="http://schemas.openxmlformats.org/spreadsheetml/2006/main" headerRowCount="0" ref="A2:I88" displayName="Table_2" id="2">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Biológicas-style" showColumnStripes="0" showFirstColumn="1" showLastColumn="1" showRowStripes="1"/>
</table>
</file>

<file path=xl/tables/table3.xml><?xml version="1.0" encoding="utf-8"?>
<table xmlns="http://schemas.openxmlformats.org/spreadsheetml/2006/main" headerRowCount="0" ref="A2:I164" displayName="Table_3" id="3">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da Saúde-style" showColumnStripes="0" showFirstColumn="1" showLastColumn="1" showRowStripes="1"/>
</table>
</file>

<file path=xl/tables/table4.xml><?xml version="1.0" encoding="utf-8"?>
<table xmlns="http://schemas.openxmlformats.org/spreadsheetml/2006/main" headerRowCount="0" ref="A2:I79" displayName="Table_4" id="4">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Exatas e da Terra-style" showColumnStripes="0" showFirstColumn="1" showLastColumn="1" showRowStripes="1"/>
</table>
</file>

<file path=xl/tables/table5.xml><?xml version="1.0" encoding="utf-8"?>
<table xmlns="http://schemas.openxmlformats.org/spreadsheetml/2006/main" headerRowCount="0" ref="A2:I909" displayName="Table_5" id="5">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Humanas-style" showColumnStripes="0" showFirstColumn="1" showLastColumn="1" showRowStripes="1"/>
</table>
</file>

<file path=xl/tables/table6.xml><?xml version="1.0" encoding="utf-8"?>
<table xmlns="http://schemas.openxmlformats.org/spreadsheetml/2006/main" headerRowCount="0" ref="A2:I493" displayName="Table_6" id="6">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Ciências Sociais Aplicadas-style" showColumnStripes="0" showFirstColumn="1" showLastColumn="1" showRowStripes="1"/>
</table>
</file>

<file path=xl/tables/table7.xml><?xml version="1.0" encoding="utf-8"?>
<table xmlns="http://schemas.openxmlformats.org/spreadsheetml/2006/main" headerRowCount="0" ref="A2:I41" displayName="Table_7" id="7">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Engenharias-style" showColumnStripes="0" showFirstColumn="1" showLastColumn="1" showRowStripes="1"/>
</table>
</file>

<file path=xl/tables/table8.xml><?xml version="1.0" encoding="utf-8"?>
<table xmlns="http://schemas.openxmlformats.org/spreadsheetml/2006/main" headerRowCount="0" ref="A2:I477" displayName="Table_8" id="8">
  <tableColumns count="9">
    <tableColumn name="Column1" id="1"/>
    <tableColumn name="Column2" id="2"/>
    <tableColumn name="Column3" id="3"/>
    <tableColumn name="Column4" id="4"/>
    <tableColumn name="Column5" id="5"/>
    <tableColumn name="Column6" id="6"/>
    <tableColumn name="Column7" id="7"/>
    <tableColumn name="Column8" id="8"/>
    <tableColumn name="Column9" id="9"/>
  </tableColumns>
  <tableStyleInfo name="Lingüística, Letras e Arte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portal.bu.ufsc.br/a-biblioteca-universitaria-da-ufsc-oferece-acesso-a-livros-eletronicos-em-diversas-areas-do-conhecimento/" TargetMode="External"/><Relationship Id="rId2" Type="http://schemas.openxmlformats.org/officeDocument/2006/relationships/hyperlink" Target="http://portal.bu.ufsc.br/" TargetMode="External"/><Relationship Id="rId3" Type="http://schemas.openxmlformats.org/officeDocument/2006/relationships/hyperlink" Target="http://books.scielo.or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75" Type="http://schemas.openxmlformats.org/officeDocument/2006/relationships/drawing" Target="../drawings/drawing10.xml"/><Relationship Id="rId174" Type="http://schemas.openxmlformats.org/officeDocument/2006/relationships/hyperlink" Target="https://www.doabooks.org/doab?func=subject&amp;cpId=113&amp;uiLanguage=en" TargetMode="External"/><Relationship Id="rId173" Type="http://schemas.openxmlformats.org/officeDocument/2006/relationships/hyperlink" Target="https://www.doabooks.org/doab?func=subject&amp;cpId=100&amp;uiLanguage=en" TargetMode="External"/><Relationship Id="rId150" Type="http://schemas.openxmlformats.org/officeDocument/2006/relationships/hyperlink" Target="https://www.doabooks.org/doab?func=subject&amp;cpId=151&amp;uiLanguage=en" TargetMode="External"/><Relationship Id="rId1" Type="http://schemas.openxmlformats.org/officeDocument/2006/relationships/hyperlink" Target="https://www.doabooks.org/doab?func=subject&amp;cpId=115&amp;uiLanguage=en" TargetMode="External"/><Relationship Id="rId2" Type="http://schemas.openxmlformats.org/officeDocument/2006/relationships/hyperlink" Target="https://openresearchlibrary.org/search-results/_cat=%22ANT000000%22%26_f=%22BOOK%22%26eft=false%26sort=true" TargetMode="External"/><Relationship Id="rId3" Type="http://schemas.openxmlformats.org/officeDocument/2006/relationships/hyperlink" Target="https://www.doabooks.org/doab?func=subject&amp;cpId=116&amp;uiLanguage=en" TargetMode="External"/><Relationship Id="rId149" Type="http://schemas.openxmlformats.org/officeDocument/2006/relationships/hyperlink" Target="https://www.doabooks.org/doab?func=subject&amp;cpId=129&amp;uiLanguage=en" TargetMode="External"/><Relationship Id="rId4" Type="http://schemas.openxmlformats.org/officeDocument/2006/relationships/hyperlink" Target="https://openresearchlibrary.org/search-results/_cat=%22ARC000000%22%26_f=%22BOOK%22%26eft=false%26sort=true" TargetMode="External"/><Relationship Id="rId148" Type="http://schemas.openxmlformats.org/officeDocument/2006/relationships/hyperlink" Target="https://www.doabooks.org/doab?func=subject&amp;cpId=123&amp;uiLanguage=en" TargetMode="External"/><Relationship Id="rId9" Type="http://schemas.openxmlformats.org/officeDocument/2006/relationships/hyperlink" Target="https://www.doabooks.org/doab?func=subject&amp;cpId=119&amp;uiLanguage=en" TargetMode="External"/><Relationship Id="rId143" Type="http://schemas.openxmlformats.org/officeDocument/2006/relationships/hyperlink" Target="https://www.doabooks.org/doab?func=subject&amp;cpId=147&amp;uiLanguage=en" TargetMode="External"/><Relationship Id="rId142" Type="http://schemas.openxmlformats.org/officeDocument/2006/relationships/hyperlink" Target="https://www.doabooks.org/doab?func=subject&amp;cpId=159&amp;uiLanguage=en" TargetMode="External"/><Relationship Id="rId141" Type="http://schemas.openxmlformats.org/officeDocument/2006/relationships/hyperlink" Target="https://www.doabooks.org/doab?func=subject&amp;cpId=146&amp;uiLanguage=en" TargetMode="External"/><Relationship Id="rId140" Type="http://schemas.openxmlformats.org/officeDocument/2006/relationships/hyperlink" Target="https://www.doabooks.org/doab?func=subject&amp;cpId=55&amp;uiLanguage=en" TargetMode="External"/><Relationship Id="rId5" Type="http://schemas.openxmlformats.org/officeDocument/2006/relationships/hyperlink" Target="https://www.doabooks.org/doab?func=subject&amp;cpId=117&amp;uiLanguage=en" TargetMode="External"/><Relationship Id="rId147" Type="http://schemas.openxmlformats.org/officeDocument/2006/relationships/hyperlink" Target="https://www.doabooks.org/doab?func=subject&amp;cpId=126&amp;uiLanguage=en" TargetMode="External"/><Relationship Id="rId6" Type="http://schemas.openxmlformats.org/officeDocument/2006/relationships/hyperlink" Target="https://openresearchlibrary.org/search-results/_cat=%22ART000000%22%26_f=%22BOOK%22%26eft=false%26sort=true" TargetMode="External"/><Relationship Id="rId146" Type="http://schemas.openxmlformats.org/officeDocument/2006/relationships/hyperlink" Target="https://www.doabooks.org/doab?func=subject&amp;cpId=127&amp;uiLanguage=en" TargetMode="External"/><Relationship Id="rId7" Type="http://schemas.openxmlformats.org/officeDocument/2006/relationships/hyperlink" Target="https://www.doabooks.org/doab?func=subject&amp;cpId=118&amp;uiLanguage=en" TargetMode="External"/><Relationship Id="rId145" Type="http://schemas.openxmlformats.org/officeDocument/2006/relationships/hyperlink" Target="https://www.doabooks.org/doab?func=subject&amp;cpId=124&amp;uiLanguage=en" TargetMode="External"/><Relationship Id="rId8" Type="http://schemas.openxmlformats.org/officeDocument/2006/relationships/hyperlink" Target="https://openresearchlibrary.org/search-results/_cat=%22BIO000000%22%26_f=%22BOOK%22%26eft=false%26sort=true" TargetMode="External"/><Relationship Id="rId144" Type="http://schemas.openxmlformats.org/officeDocument/2006/relationships/hyperlink" Target="https://www.doabooks.org/doab?func=subject&amp;cpId=87&amp;uiLanguage=en" TargetMode="External"/><Relationship Id="rId139" Type="http://schemas.openxmlformats.org/officeDocument/2006/relationships/hyperlink" Target="https://www.doabooks.org/doab?func=subject&amp;cpId=54&amp;uiLanguage=en" TargetMode="External"/><Relationship Id="rId138" Type="http://schemas.openxmlformats.org/officeDocument/2006/relationships/hyperlink" Target="https://www.doabooks.org/doab?func=subject&amp;cpId=53&amp;uiLanguage=en" TargetMode="External"/><Relationship Id="rId137" Type="http://schemas.openxmlformats.org/officeDocument/2006/relationships/hyperlink" Target="https://www.doabooks.org/doab?func=subject&amp;cpId=52&amp;uiLanguage=en" TargetMode="External"/><Relationship Id="rId132" Type="http://schemas.openxmlformats.org/officeDocument/2006/relationships/hyperlink" Target="https://www.doabooks.org/doab?func=subject&amp;cpId=48&amp;uiLanguage=en" TargetMode="External"/><Relationship Id="rId131" Type="http://schemas.openxmlformats.org/officeDocument/2006/relationships/hyperlink" Target="https://www.doabooks.org/doab?func=subject&amp;cpId=155&amp;uiLanguage=en" TargetMode="External"/><Relationship Id="rId130" Type="http://schemas.openxmlformats.org/officeDocument/2006/relationships/hyperlink" Target="https://www.doabooks.org/doab?func=subject&amp;cpId=16&amp;uiLanguage=en" TargetMode="External"/><Relationship Id="rId136" Type="http://schemas.openxmlformats.org/officeDocument/2006/relationships/hyperlink" Target="https://www.doabooks.org/doab?func=subject&amp;cpId=51&amp;uiLanguage=en" TargetMode="External"/><Relationship Id="rId135" Type="http://schemas.openxmlformats.org/officeDocument/2006/relationships/hyperlink" Target="https://www.doabooks.org/doab?func=subject&amp;cpId=50&amp;uiLanguage=en" TargetMode="External"/><Relationship Id="rId134" Type="http://schemas.openxmlformats.org/officeDocument/2006/relationships/hyperlink" Target="https://www.doabooks.org/doab?func=subject&amp;cpId=49&amp;uiLanguage=en" TargetMode="External"/><Relationship Id="rId133" Type="http://schemas.openxmlformats.org/officeDocument/2006/relationships/hyperlink" Target="https://www.doabooks.org/doab?func=subject&amp;cpId=56&amp;uiLanguage=en" TargetMode="External"/><Relationship Id="rId172" Type="http://schemas.openxmlformats.org/officeDocument/2006/relationships/hyperlink" Target="https://www.doabooks.org/doab?func=subject&amp;cpId=112&amp;uiLanguage=en" TargetMode="External"/><Relationship Id="rId171" Type="http://schemas.openxmlformats.org/officeDocument/2006/relationships/hyperlink" Target="https://www.doabooks.org/doab?func=subject&amp;cpId=153&amp;uiLanguage=en" TargetMode="External"/><Relationship Id="rId170" Type="http://schemas.openxmlformats.org/officeDocument/2006/relationships/hyperlink" Target="https://www.doabooks.org/doab?func=subject&amp;cpId=111&amp;uiLanguage=en" TargetMode="External"/><Relationship Id="rId165" Type="http://schemas.openxmlformats.org/officeDocument/2006/relationships/hyperlink" Target="https://www.doabooks.org/doab?func=subject&amp;cpId=101&amp;uiLanguage=en" TargetMode="External"/><Relationship Id="rId164" Type="http://schemas.openxmlformats.org/officeDocument/2006/relationships/hyperlink" Target="https://www.doabooks.org/doab?func=subject&amp;cpId=107&amp;uiLanguage=en" TargetMode="External"/><Relationship Id="rId163" Type="http://schemas.openxmlformats.org/officeDocument/2006/relationships/hyperlink" Target="https://www.doabooks.org/doab?func=subject&amp;cpId=106&amp;uiLanguage=en" TargetMode="External"/><Relationship Id="rId162" Type="http://schemas.openxmlformats.org/officeDocument/2006/relationships/hyperlink" Target="https://www.doabooks.org/doab?func=subject&amp;cpId=104&amp;uiLanguage=en" TargetMode="External"/><Relationship Id="rId169" Type="http://schemas.openxmlformats.org/officeDocument/2006/relationships/hyperlink" Target="https://www.doabooks.org/doab?func=subject&amp;cpId=110&amp;uiLanguage=en" TargetMode="External"/><Relationship Id="rId168" Type="http://schemas.openxmlformats.org/officeDocument/2006/relationships/hyperlink" Target="https://www.doabooks.org/doab?func=subject&amp;cpId=109&amp;uiLanguage=en" TargetMode="External"/><Relationship Id="rId167" Type="http://schemas.openxmlformats.org/officeDocument/2006/relationships/hyperlink" Target="https://www.doabooks.org/doab?func=subject&amp;cpId=108&amp;uiLanguage=en" TargetMode="External"/><Relationship Id="rId166" Type="http://schemas.openxmlformats.org/officeDocument/2006/relationships/hyperlink" Target="https://www.doabooks.org/doab?func=subject&amp;cpId=105&amp;uiLanguage=en" TargetMode="External"/><Relationship Id="rId161" Type="http://schemas.openxmlformats.org/officeDocument/2006/relationships/hyperlink" Target="https://www.doabooks.org/doab?func=subject&amp;cpId=102&amp;uiLanguage=en" TargetMode="External"/><Relationship Id="rId160" Type="http://schemas.openxmlformats.org/officeDocument/2006/relationships/hyperlink" Target="https://www.doabooks.org/doab?func=subject&amp;cpId=114&amp;uiLanguage=en" TargetMode="External"/><Relationship Id="rId159" Type="http://schemas.openxmlformats.org/officeDocument/2006/relationships/hyperlink" Target="https://www.doabooks.org/doab?func=subject&amp;cpId=103&amp;uiLanguage=en" TargetMode="External"/><Relationship Id="rId154" Type="http://schemas.openxmlformats.org/officeDocument/2006/relationships/hyperlink" Target="https://www.doabooks.org/doab?func=subject&amp;cpId=152&amp;uiLanguage=en" TargetMode="External"/><Relationship Id="rId153" Type="http://schemas.openxmlformats.org/officeDocument/2006/relationships/hyperlink" Target="https://www.doabooks.org/doab?func=subject&amp;cpId=88&amp;uiLanguage=en" TargetMode="External"/><Relationship Id="rId152" Type="http://schemas.openxmlformats.org/officeDocument/2006/relationships/hyperlink" Target="https://www.doabooks.org/doab?func=subject&amp;cpId=128&amp;uiLanguage=en" TargetMode="External"/><Relationship Id="rId151" Type="http://schemas.openxmlformats.org/officeDocument/2006/relationships/hyperlink" Target="https://www.doabooks.org/doab?func=subject&amp;cpId=130&amp;uiLanguage=en" TargetMode="External"/><Relationship Id="rId158" Type="http://schemas.openxmlformats.org/officeDocument/2006/relationships/hyperlink" Target="https://www.doabooks.org/doab?func=subject&amp;cpId=99&amp;uiLanguage=en" TargetMode="External"/><Relationship Id="rId157" Type="http://schemas.openxmlformats.org/officeDocument/2006/relationships/hyperlink" Target="https://www.doabooks.org/doab?func=subject&amp;cpId=125&amp;uiLanguage=en" TargetMode="External"/><Relationship Id="rId156" Type="http://schemas.openxmlformats.org/officeDocument/2006/relationships/hyperlink" Target="https://www.doabooks.org/doab?func=subject&amp;cpId=132&amp;uiLanguage=en" TargetMode="External"/><Relationship Id="rId155" Type="http://schemas.openxmlformats.org/officeDocument/2006/relationships/hyperlink" Target="https://www.doabooks.org/doab?func=subject&amp;cpId=131&amp;uiLanguage=en" TargetMode="External"/><Relationship Id="rId40" Type="http://schemas.openxmlformats.org/officeDocument/2006/relationships/hyperlink" Target="https://openresearchlibrary.org/search-results/_cat=%22JUV000000%22%26_f=%22BOOK%22%26eft=false%26sort=true" TargetMode="External"/><Relationship Id="rId42" Type="http://schemas.openxmlformats.org/officeDocument/2006/relationships/hyperlink" Target="https://openresearchlibrary.org/search-results/_cat=%22JNF000000%22%26_f=%22BOOK%22%26eft=false%26sort=true" TargetMode="External"/><Relationship Id="rId41" Type="http://schemas.openxmlformats.org/officeDocument/2006/relationships/hyperlink" Target="https://www.doabooks.org/doab?func=subject&amp;cpId=71&amp;uiLanguage=en" TargetMode="External"/><Relationship Id="rId44" Type="http://schemas.openxmlformats.org/officeDocument/2006/relationships/hyperlink" Target="https://openresearchlibrary.org/search-results/_cat=%22LAN000000%22%26_f=%22BOOK%22%26eft=false%26sort=true" TargetMode="External"/><Relationship Id="rId43" Type="http://schemas.openxmlformats.org/officeDocument/2006/relationships/hyperlink" Target="https://www.doabooks.org/doab?func=subject&amp;cpId=69&amp;uiLanguage=en" TargetMode="External"/><Relationship Id="rId46" Type="http://schemas.openxmlformats.org/officeDocument/2006/relationships/hyperlink" Target="https://openresearchlibrary.org/search-results/_cat=%22LAW000000%22%26_f=%22BOOK%22%26eft=false%26sort=true" TargetMode="External"/><Relationship Id="rId45" Type="http://schemas.openxmlformats.org/officeDocument/2006/relationships/hyperlink" Target="https://www.doabooks.org/doab?func=subject&amp;cpId=74&amp;uiLanguage=en" TargetMode="External"/><Relationship Id="rId48" Type="http://schemas.openxmlformats.org/officeDocument/2006/relationships/hyperlink" Target="https://openresearchlibrary.org/search-results/_cat=%22LCO000000%22%26_f=%22BOOK%22%26eft=false%26sort=true" TargetMode="External"/><Relationship Id="rId47" Type="http://schemas.openxmlformats.org/officeDocument/2006/relationships/hyperlink" Target="https://www.doabooks.org/doab?func=subject&amp;cpId=75&amp;uiLanguage=en" TargetMode="External"/><Relationship Id="rId49" Type="http://schemas.openxmlformats.org/officeDocument/2006/relationships/hyperlink" Target="https://www.doabooks.org/doab?func=subject&amp;cpId=76&amp;uiLanguage=en" TargetMode="External"/><Relationship Id="rId31" Type="http://schemas.openxmlformats.org/officeDocument/2006/relationships/hyperlink" Target="https://www.doabooks.org/doab?func=subject&amp;cpId=68&amp;uiLanguage=en" TargetMode="External"/><Relationship Id="rId30" Type="http://schemas.openxmlformats.org/officeDocument/2006/relationships/hyperlink" Target="https://openresearchlibrary.org/search-results/_cat=%22FOR000000%22%26_f=%22BOOK%22%26eft=false%26sort=true" TargetMode="External"/><Relationship Id="rId33" Type="http://schemas.openxmlformats.org/officeDocument/2006/relationships/hyperlink" Target="https://www.doabooks.org/doab?func=subject&amp;cpId=70&amp;uiLanguage=en" TargetMode="External"/><Relationship Id="rId32" Type="http://schemas.openxmlformats.org/officeDocument/2006/relationships/hyperlink" Target="https://openresearchlibrary.org/search-results/_cat=%22GAM000000%22%26_f=%22BOOK%22%26eft=false%26sort=true" TargetMode="External"/><Relationship Id="rId35" Type="http://schemas.openxmlformats.org/officeDocument/2006/relationships/hyperlink" Target="https://www.doabooks.org/doab?func=subject&amp;cpId=72&amp;uiLanguage=en" TargetMode="External"/><Relationship Id="rId34" Type="http://schemas.openxmlformats.org/officeDocument/2006/relationships/hyperlink" Target="https://openresearchlibrary.org/search-results/_cat=%22GAR000000%22%26_f=%22BOOK%22%26eft=false%26sort=true" TargetMode="External"/><Relationship Id="rId37" Type="http://schemas.openxmlformats.org/officeDocument/2006/relationships/hyperlink" Target="https://www.doabooks.org/doab?func=subject&amp;cpId=154&amp;uiLanguage=en" TargetMode="External"/><Relationship Id="rId36" Type="http://schemas.openxmlformats.org/officeDocument/2006/relationships/hyperlink" Target="https://openresearchlibrary.org/search-results/_cat=%22HEA000000%22%26_f=%22BOOK%22%26eft=false%26sort=true" TargetMode="External"/><Relationship Id="rId39" Type="http://schemas.openxmlformats.org/officeDocument/2006/relationships/hyperlink" Target="https://www.doabooks.org/doab?func=subject&amp;cpId=73&amp;uiLanguage=en" TargetMode="External"/><Relationship Id="rId38" Type="http://schemas.openxmlformats.org/officeDocument/2006/relationships/hyperlink" Target="https://openresearchlibrary.org/search-results/_cat=%22HIS000000%22%26_f=%22BOOK%22%26eft=false%26sort=true" TargetMode="External"/><Relationship Id="rId20" Type="http://schemas.openxmlformats.org/officeDocument/2006/relationships/hyperlink" Target="https://openresearchlibrary.org/search-results/_cat=%22DES000000%22%26_f=%22BOOK%22%26eft=false%26sort=true" TargetMode="External"/><Relationship Id="rId22" Type="http://schemas.openxmlformats.org/officeDocument/2006/relationships/hyperlink" Target="https://openresearchlibrary.org/search-results/_cat=%22DRA000000%22%26_f=%22BOOK%22%26eft=false%26sort=true" TargetMode="External"/><Relationship Id="rId21" Type="http://schemas.openxmlformats.org/officeDocument/2006/relationships/hyperlink" Target="https://www.doabooks.org/doab?func=subject&amp;cpId=4&amp;uiLanguage=en" TargetMode="External"/><Relationship Id="rId24" Type="http://schemas.openxmlformats.org/officeDocument/2006/relationships/hyperlink" Target="https://openresearchlibrary.org/search-results/_cat=%22EDU000000%22%26_f=%22BOOK%22%26eft=false%26sort=true" TargetMode="External"/><Relationship Id="rId23" Type="http://schemas.openxmlformats.org/officeDocument/2006/relationships/hyperlink" Target="https://www.doabooks.org/doab?func=subject&amp;cpId=6&amp;uiLanguage=en" TargetMode="External"/><Relationship Id="rId26" Type="http://schemas.openxmlformats.org/officeDocument/2006/relationships/hyperlink" Target="https://openresearchlibrary.org/search-results/_cat=%22FAM000000%22%26_f=%22BOOK%22%26eft=false%26sort=true" TargetMode="External"/><Relationship Id="rId25" Type="http://schemas.openxmlformats.org/officeDocument/2006/relationships/hyperlink" Target="https://www.doabooks.org/doab?func=subject&amp;cpId=7&amp;uiLanguage=en" TargetMode="External"/><Relationship Id="rId28" Type="http://schemas.openxmlformats.org/officeDocument/2006/relationships/hyperlink" Target="https://openresearchlibrary.org/search-results/_cat=%22FIC000000%22%26_f=%22BOOK%22%26eft=false%26sort=true" TargetMode="External"/><Relationship Id="rId27" Type="http://schemas.openxmlformats.org/officeDocument/2006/relationships/hyperlink" Target="https://www.doabooks.org/doab?func=subject&amp;cpId=5&amp;uiLanguage=en" TargetMode="External"/><Relationship Id="rId29" Type="http://schemas.openxmlformats.org/officeDocument/2006/relationships/hyperlink" Target="https://www.doabooks.org/doab?func=subject&amp;cpId=67&amp;uiLanguage=en" TargetMode="External"/><Relationship Id="rId11" Type="http://schemas.openxmlformats.org/officeDocument/2006/relationships/hyperlink" Target="https://www.doabooks.org/doab?func=subject&amp;cpId=120&amp;uiLanguage=en" TargetMode="External"/><Relationship Id="rId10" Type="http://schemas.openxmlformats.org/officeDocument/2006/relationships/hyperlink" Target="https://openresearchlibrary.org/search-results/_cat=%22OCC000000%22%26_f=%22BOOK%22%26eft=false%26sort=true" TargetMode="External"/><Relationship Id="rId13" Type="http://schemas.openxmlformats.org/officeDocument/2006/relationships/hyperlink" Target="https://www.doabooks.org/doab?func=subject&amp;cpId=121&amp;uiLanguage=en" TargetMode="External"/><Relationship Id="rId12" Type="http://schemas.openxmlformats.org/officeDocument/2006/relationships/hyperlink" Target="https://openresearchlibrary.org/search-results/_cat=%22BUS000000%22%26_f=%22BOOK%22%26eft=false%26sort=true" TargetMode="External"/><Relationship Id="rId15" Type="http://schemas.openxmlformats.org/officeDocument/2006/relationships/hyperlink" Target="https://www.doabooks.org/doab?func=subject&amp;cpId=1&amp;uiLanguage=en" TargetMode="External"/><Relationship Id="rId14" Type="http://schemas.openxmlformats.org/officeDocument/2006/relationships/hyperlink" Target="https://openresearchlibrary.org/search-results/_cat=%22CGN000000%22%26_f=%22BOOK%22%26eft=false%26sort=true" TargetMode="External"/><Relationship Id="rId17" Type="http://schemas.openxmlformats.org/officeDocument/2006/relationships/hyperlink" Target="https://www.doabooks.org/doab?func=subject&amp;cpId=2&amp;uiLanguage=en" TargetMode="External"/><Relationship Id="rId16" Type="http://schemas.openxmlformats.org/officeDocument/2006/relationships/hyperlink" Target="https://openresearchlibrary.org/search-results/_cat=%22COM000000%22%26_f=%22BOOK%22%26eft=false%26sort=true" TargetMode="External"/><Relationship Id="rId19" Type="http://schemas.openxmlformats.org/officeDocument/2006/relationships/hyperlink" Target="https://www.doabooks.org/doab?func=subject&amp;cpId=157&amp;uiLanguage=en" TargetMode="External"/><Relationship Id="rId18" Type="http://schemas.openxmlformats.org/officeDocument/2006/relationships/hyperlink" Target="https://openresearchlibrary.org/search-results/_cat=%22CKB000000%22%26_f=%22BOOK%22%26eft=false%26sort=true" TargetMode="External"/><Relationship Id="rId84" Type="http://schemas.openxmlformats.org/officeDocument/2006/relationships/hyperlink" Target="https://openresearchlibrary.org/search-results/_cat=%22TRA000000%22%26_f=%22BOOK%22%26eft=false%26sort=true" TargetMode="External"/><Relationship Id="rId83" Type="http://schemas.openxmlformats.org/officeDocument/2006/relationships/hyperlink" Target="https://www.doabooks.org/doab?func=subject&amp;cpId=85&amp;uiLanguage=en" TargetMode="External"/><Relationship Id="rId86" Type="http://schemas.openxmlformats.org/officeDocument/2006/relationships/hyperlink" Target="https://openresearchlibrary.org/search-results/_cat=%22TRV000000%22%26_f=%22BOOK%22%26eft=false%26sort=true" TargetMode="External"/><Relationship Id="rId85" Type="http://schemas.openxmlformats.org/officeDocument/2006/relationships/hyperlink" Target="https://www.doabooks.org/doab?func=subject&amp;cpId=86&amp;uiLanguage=en" TargetMode="External"/><Relationship Id="rId88" Type="http://schemas.openxmlformats.org/officeDocument/2006/relationships/hyperlink" Target="https://www.doabooks.org/doab?func=subject&amp;cpId=138&amp;uiLanguage=en" TargetMode="External"/><Relationship Id="rId87" Type="http://schemas.openxmlformats.org/officeDocument/2006/relationships/hyperlink" Target="https://www.doabooks.org/doab?func=subject&amp;cpId=84&amp;uiLanguage=en" TargetMode="External"/><Relationship Id="rId89" Type="http://schemas.openxmlformats.org/officeDocument/2006/relationships/hyperlink" Target="https://www.doabooks.org/doab?func=subject&amp;cpId=139&amp;uiLanguage=en" TargetMode="External"/><Relationship Id="rId80" Type="http://schemas.openxmlformats.org/officeDocument/2006/relationships/hyperlink" Target="https://openresearchlibrary.org/search-results/_cat=%22SPO000000%22%26_f=%22BOOK%22%26eft=false%26sort=true" TargetMode="External"/><Relationship Id="rId82" Type="http://schemas.openxmlformats.org/officeDocument/2006/relationships/hyperlink" Target="https://openresearchlibrary.org/search-results/_cat=%22TEC000000%22%26_f=%22BOOK%22%26eft=false%26sort=true" TargetMode="External"/><Relationship Id="rId81" Type="http://schemas.openxmlformats.org/officeDocument/2006/relationships/hyperlink" Target="https://www.doabooks.org/doab?func=subject&amp;cpId=82&amp;uiLanguage=en" TargetMode="External"/><Relationship Id="rId73" Type="http://schemas.openxmlformats.org/officeDocument/2006/relationships/hyperlink" Target="https://www.doabooks.org/doab?func=subject&amp;cpId=140&amp;uiLanguage=en" TargetMode="External"/><Relationship Id="rId72" Type="http://schemas.openxmlformats.org/officeDocument/2006/relationships/hyperlink" Target="https://openresearchlibrary.org/search-results/_cat=%22REF000000%22%26_f=%22BOOK%22%26eft=false%26sort=true" TargetMode="External"/><Relationship Id="rId75" Type="http://schemas.openxmlformats.org/officeDocument/2006/relationships/hyperlink" Target="https://www.doabooks.org/doab?func=subject&amp;cpId=80&amp;uiLanguage=en" TargetMode="External"/><Relationship Id="rId74" Type="http://schemas.openxmlformats.org/officeDocument/2006/relationships/hyperlink" Target="https://openresearchlibrary.org/search-results/_cat=%22REL000000%22%26_f=%22BOOK%22%26eft=false%26sort=true" TargetMode="External"/><Relationship Id="rId77" Type="http://schemas.openxmlformats.org/officeDocument/2006/relationships/hyperlink" Target="https://www.doabooks.org/doab?func=subject&amp;cpId=79&amp;uiLanguage=en" TargetMode="External"/><Relationship Id="rId76" Type="http://schemas.openxmlformats.org/officeDocument/2006/relationships/hyperlink" Target="https://openresearchlibrary.org/search-results/_cat=%22SCI000000%22%26_f=%22BOOK%22%26eft=false%26sort=true" TargetMode="External"/><Relationship Id="rId79" Type="http://schemas.openxmlformats.org/officeDocument/2006/relationships/hyperlink" Target="https://www.doabooks.org/doab?func=subject&amp;cpId=83&amp;uiLanguage=en" TargetMode="External"/><Relationship Id="rId78" Type="http://schemas.openxmlformats.org/officeDocument/2006/relationships/hyperlink" Target="https://openresearchlibrary.org/search-results/_cat=%22SOC000000%22%26_f=%22BOOK%22%26eft=false%26sort=true" TargetMode="External"/><Relationship Id="rId71" Type="http://schemas.openxmlformats.org/officeDocument/2006/relationships/hyperlink" Target="https://www.doabooks.org/doab?func=subject&amp;cpId=78&amp;uiLanguage=en" TargetMode="External"/><Relationship Id="rId70" Type="http://schemas.openxmlformats.org/officeDocument/2006/relationships/hyperlink" Target="https://openresearchlibrary.org/search-results/_cat=%22PSY000000%22%26_f=%22BOOK%22%26eft=false%26sort=true" TargetMode="External"/><Relationship Id="rId62" Type="http://schemas.openxmlformats.org/officeDocument/2006/relationships/hyperlink" Target="https://openresearchlibrary.org/search-results/_cat=%22PHI000000%22%26_f=%22BOOK%22%26eft=false%26sort=true" TargetMode="External"/><Relationship Id="rId61" Type="http://schemas.openxmlformats.org/officeDocument/2006/relationships/hyperlink" Target="https://www.doabooks.org/doab?func=subject&amp;cpId=62&amp;uiLanguage=en" TargetMode="External"/><Relationship Id="rId64" Type="http://schemas.openxmlformats.org/officeDocument/2006/relationships/hyperlink" Target="https://openresearchlibrary.org/search-results/_cat=%22PHO000000%22%26_f=%22BOOK%22%26eft=false%26sort=true" TargetMode="External"/><Relationship Id="rId63" Type="http://schemas.openxmlformats.org/officeDocument/2006/relationships/hyperlink" Target="https://www.doabooks.org/doab?func=subject&amp;cpId=66&amp;uiLanguage=en" TargetMode="External"/><Relationship Id="rId66" Type="http://schemas.openxmlformats.org/officeDocument/2006/relationships/hyperlink" Target="https://openresearchlibrary.org/search-results/_cat=%22POE000000%22%26_f=%22BOOK%22%26eft=false%26sort=true" TargetMode="External"/><Relationship Id="rId65" Type="http://schemas.openxmlformats.org/officeDocument/2006/relationships/hyperlink" Target="https://www.doabooks.org/doab?func=subject&amp;cpId=61&amp;uiLanguage=en" TargetMode="External"/><Relationship Id="rId68" Type="http://schemas.openxmlformats.org/officeDocument/2006/relationships/hyperlink" Target="https://openresearchlibrary.org/search-results/_cat=%22POL000000%22%26_f=%22BOOK%22%26eft=false%26sort=true" TargetMode="External"/><Relationship Id="rId67" Type="http://schemas.openxmlformats.org/officeDocument/2006/relationships/hyperlink" Target="https://www.doabooks.org/doab?func=subject&amp;cpId=63&amp;uiLanguage=en" TargetMode="External"/><Relationship Id="rId60" Type="http://schemas.openxmlformats.org/officeDocument/2006/relationships/hyperlink" Target="https://openresearchlibrary.org/search-results/_cat=%22PER000000%22%26_f=%22BOOK%22%26eft=false%26sort=true" TargetMode="External"/><Relationship Id="rId69" Type="http://schemas.openxmlformats.org/officeDocument/2006/relationships/hyperlink" Target="https://www.doabooks.org/doab?func=subject&amp;cpId=64&amp;uiLanguage=en" TargetMode="External"/><Relationship Id="rId51" Type="http://schemas.openxmlformats.org/officeDocument/2006/relationships/hyperlink" Target="https://www.doabooks.org/doab?func=subject&amp;cpId=77&amp;uiLanguage=en" TargetMode="External"/><Relationship Id="rId50" Type="http://schemas.openxmlformats.org/officeDocument/2006/relationships/hyperlink" Target="https://openresearchlibrary.org/search-results/_cat=%22LIT000000%22%26_f=%22BOOK%22%26eft=false%26sort=true" TargetMode="External"/><Relationship Id="rId53" Type="http://schemas.openxmlformats.org/officeDocument/2006/relationships/hyperlink" Target="https://www.doabooks.org/doab?func=subject&amp;cpId=17&amp;uiLanguage=en" TargetMode="External"/><Relationship Id="rId52" Type="http://schemas.openxmlformats.org/officeDocument/2006/relationships/hyperlink" Target="https://openresearchlibrary.org/search-results/_cat=%22MAT000000%22%26_f=%22BOOK%22%26eft=false%26sort=true" TargetMode="External"/><Relationship Id="rId55" Type="http://schemas.openxmlformats.org/officeDocument/2006/relationships/hyperlink" Target="https://www.doabooks.org/doab?func=subject&amp;cpId=18&amp;uiLanguage=en" TargetMode="External"/><Relationship Id="rId54" Type="http://schemas.openxmlformats.org/officeDocument/2006/relationships/hyperlink" Target="https://openresearchlibrary.org/search-results/_cat=%22MED000000%22%26_f=%22BOOK%22%26eft=false%26sort=true" TargetMode="External"/><Relationship Id="rId57" Type="http://schemas.openxmlformats.org/officeDocument/2006/relationships/hyperlink" Target="https://www.doabooks.org/doab?func=subject&amp;cpId=19&amp;uiLanguage=en" TargetMode="External"/><Relationship Id="rId56" Type="http://schemas.openxmlformats.org/officeDocument/2006/relationships/hyperlink" Target="https://openresearchlibrary.org/search-results/_cat=%22MUS000000%22%26_f=%22BOOK%22%26eft=false%26sort=true" TargetMode="External"/><Relationship Id="rId59" Type="http://schemas.openxmlformats.org/officeDocument/2006/relationships/hyperlink" Target="https://www.doabooks.org/doab?func=subject&amp;cpId=60&amp;uiLanguage=en" TargetMode="External"/><Relationship Id="rId58" Type="http://schemas.openxmlformats.org/officeDocument/2006/relationships/hyperlink" Target="https://openresearchlibrary.org/search-results/_cat=%22NAT000000%22%26_f=%22BOOK%22%26eft=false%26sort=true" TargetMode="External"/><Relationship Id="rId107" Type="http://schemas.openxmlformats.org/officeDocument/2006/relationships/hyperlink" Target="https://www.doabooks.org/doab?func=subject&amp;cpId=29&amp;uiLanguage=en" TargetMode="External"/><Relationship Id="rId106" Type="http://schemas.openxmlformats.org/officeDocument/2006/relationships/hyperlink" Target="https://www.doabooks.org/doab?func=subject&amp;cpId=42&amp;uiLanguage=en" TargetMode="External"/><Relationship Id="rId105" Type="http://schemas.openxmlformats.org/officeDocument/2006/relationships/hyperlink" Target="https://www.doabooks.org/doab?func=subject&amp;cpId=35&amp;uiLanguage=en" TargetMode="External"/><Relationship Id="rId104" Type="http://schemas.openxmlformats.org/officeDocument/2006/relationships/hyperlink" Target="https://www.doabooks.org/doab?func=subject&amp;cpId=28&amp;uiLanguage=en" TargetMode="External"/><Relationship Id="rId109" Type="http://schemas.openxmlformats.org/officeDocument/2006/relationships/hyperlink" Target="https://www.doabooks.org/doab?func=subject&amp;cpId=27&amp;uiLanguage=en" TargetMode="External"/><Relationship Id="rId108" Type="http://schemas.openxmlformats.org/officeDocument/2006/relationships/hyperlink" Target="https://www.doabooks.org/doab?func=subject&amp;cpId=31&amp;uiLanguage=en" TargetMode="External"/><Relationship Id="rId103" Type="http://schemas.openxmlformats.org/officeDocument/2006/relationships/hyperlink" Target="https://www.doabooks.org/doab?func=subject&amp;cpId=40&amp;uiLanguage=en" TargetMode="External"/><Relationship Id="rId102" Type="http://schemas.openxmlformats.org/officeDocument/2006/relationships/hyperlink" Target="https://www.doabooks.org/doab?func=subject&amp;cpId=37&amp;uiLanguage=en" TargetMode="External"/><Relationship Id="rId101" Type="http://schemas.openxmlformats.org/officeDocument/2006/relationships/hyperlink" Target="https://www.doabooks.org/doab?func=subject&amp;cpId=32&amp;uiLanguage=en" TargetMode="External"/><Relationship Id="rId100" Type="http://schemas.openxmlformats.org/officeDocument/2006/relationships/hyperlink" Target="https://www.doabooks.org/doab?func=subject&amp;cpId=168&amp;uiLanguage=en" TargetMode="External"/><Relationship Id="rId129" Type="http://schemas.openxmlformats.org/officeDocument/2006/relationships/hyperlink" Target="https://www.doabooks.org/doab?func=subject&amp;cpId=15&amp;uiLanguage=en" TargetMode="External"/><Relationship Id="rId128" Type="http://schemas.openxmlformats.org/officeDocument/2006/relationships/hyperlink" Target="https://www.doabooks.org/doab?func=subject&amp;cpId=14&amp;uiLanguage=en" TargetMode="External"/><Relationship Id="rId127" Type="http://schemas.openxmlformats.org/officeDocument/2006/relationships/hyperlink" Target="https://www.doabooks.org/doab?func=subject&amp;cpId=59&amp;uiLanguage=en" TargetMode="External"/><Relationship Id="rId126" Type="http://schemas.openxmlformats.org/officeDocument/2006/relationships/hyperlink" Target="https://www.doabooks.org/doab?func=subject&amp;cpId=58&amp;uiLanguage=en" TargetMode="External"/><Relationship Id="rId121" Type="http://schemas.openxmlformats.org/officeDocument/2006/relationships/hyperlink" Target="https://www.doabooks.org/doab?func=subject&amp;cpId=122&amp;uiLanguage=en" TargetMode="External"/><Relationship Id="rId120" Type="http://schemas.openxmlformats.org/officeDocument/2006/relationships/hyperlink" Target="https://www.doabooks.org/doab?func=subject&amp;cpId=9&amp;uiLanguage=en" TargetMode="External"/><Relationship Id="rId125" Type="http://schemas.openxmlformats.org/officeDocument/2006/relationships/hyperlink" Target="https://www.doabooks.org/doab?func=subject&amp;cpId=57&amp;uiLanguage=en" TargetMode="External"/><Relationship Id="rId124" Type="http://schemas.openxmlformats.org/officeDocument/2006/relationships/hyperlink" Target="https://www.doabooks.org/doab?func=subject&amp;cpId=47&amp;uiLanguage=en" TargetMode="External"/><Relationship Id="rId123" Type="http://schemas.openxmlformats.org/officeDocument/2006/relationships/hyperlink" Target="https://www.doabooks.org/doab?func=subject&amp;cpId=46&amp;uiLanguage=en" TargetMode="External"/><Relationship Id="rId122" Type="http://schemas.openxmlformats.org/officeDocument/2006/relationships/hyperlink" Target="https://www.doabooks.org/doab?func=subject&amp;cpId=45&amp;uiLanguage=en" TargetMode="External"/><Relationship Id="rId95" Type="http://schemas.openxmlformats.org/officeDocument/2006/relationships/hyperlink" Target="https://www.doabooks.org/doab?func=subject&amp;cpId=39&amp;uiLanguage=en" TargetMode="External"/><Relationship Id="rId94" Type="http://schemas.openxmlformats.org/officeDocument/2006/relationships/hyperlink" Target="https://www.doabooks.org/doab?func=subject&amp;cpId=145&amp;uiLanguage=en" TargetMode="External"/><Relationship Id="rId97" Type="http://schemas.openxmlformats.org/officeDocument/2006/relationships/hyperlink" Target="https://www.doabooks.org/doab?func=subject&amp;cpId=36&amp;uiLanguage=en" TargetMode="External"/><Relationship Id="rId96" Type="http://schemas.openxmlformats.org/officeDocument/2006/relationships/hyperlink" Target="https://www.doabooks.org/doab?func=subject&amp;cpId=43&amp;uiLanguage=en" TargetMode="External"/><Relationship Id="rId99" Type="http://schemas.openxmlformats.org/officeDocument/2006/relationships/hyperlink" Target="https://www.doabooks.org/doab?func=subject&amp;cpId=26&amp;uiLanguage=en" TargetMode="External"/><Relationship Id="rId98" Type="http://schemas.openxmlformats.org/officeDocument/2006/relationships/hyperlink" Target="https://www.doabooks.org/doab?func=subject&amp;cpId=34&amp;uiLanguage=en" TargetMode="External"/><Relationship Id="rId91" Type="http://schemas.openxmlformats.org/officeDocument/2006/relationships/hyperlink" Target="https://www.doabooks.org/doab?func=subject&amp;cpId=22&amp;uiLanguage=en" TargetMode="External"/><Relationship Id="rId90" Type="http://schemas.openxmlformats.org/officeDocument/2006/relationships/hyperlink" Target="https://www.doabooks.org/doab?func=subject&amp;cpId=20&amp;uiLanguage=en" TargetMode="External"/><Relationship Id="rId93" Type="http://schemas.openxmlformats.org/officeDocument/2006/relationships/hyperlink" Target="https://www.doabooks.org/doab?func=subject&amp;cpId=25&amp;uiLanguage=en" TargetMode="External"/><Relationship Id="rId92" Type="http://schemas.openxmlformats.org/officeDocument/2006/relationships/hyperlink" Target="https://www.doabooks.org/doab?func=subject&amp;cpId=24&amp;uiLanguage=en" TargetMode="External"/><Relationship Id="rId118" Type="http://schemas.openxmlformats.org/officeDocument/2006/relationships/hyperlink" Target="https://www.doabooks.org/doab?func=subject&amp;cpId=13&amp;uiLanguage=en" TargetMode="External"/><Relationship Id="rId117" Type="http://schemas.openxmlformats.org/officeDocument/2006/relationships/hyperlink" Target="https://www.doabooks.org/doab?func=subject&amp;cpId=150&amp;uiLanguage=en" TargetMode="External"/><Relationship Id="rId116" Type="http://schemas.openxmlformats.org/officeDocument/2006/relationships/hyperlink" Target="https://www.doabooks.org/doab?func=subject&amp;cpId=12&amp;uiLanguage=en" TargetMode="External"/><Relationship Id="rId115" Type="http://schemas.openxmlformats.org/officeDocument/2006/relationships/hyperlink" Target="https://www.doabooks.org/doab?func=subject&amp;cpId=11&amp;uiLanguage=en" TargetMode="External"/><Relationship Id="rId119" Type="http://schemas.openxmlformats.org/officeDocument/2006/relationships/hyperlink" Target="https://www.doabooks.org/doab?func=subject&amp;cpId=8&amp;uiLanguage=en" TargetMode="External"/><Relationship Id="rId110" Type="http://schemas.openxmlformats.org/officeDocument/2006/relationships/hyperlink" Target="https://www.doabooks.org/doab?func=subject&amp;cpId=33&amp;uiLanguage=en" TargetMode="External"/><Relationship Id="rId114" Type="http://schemas.openxmlformats.org/officeDocument/2006/relationships/hyperlink" Target="https://www.doabooks.org/doab?func=subject&amp;cpId=21&amp;uiLanguage=en" TargetMode="External"/><Relationship Id="rId113" Type="http://schemas.openxmlformats.org/officeDocument/2006/relationships/hyperlink" Target="https://www.doabooks.org/doab?func=subject&amp;cpId=23&amp;uiLanguage=en" TargetMode="External"/><Relationship Id="rId112" Type="http://schemas.openxmlformats.org/officeDocument/2006/relationships/hyperlink" Target="https://www.doabooks.org/doab?func=subject&amp;cpId=30&amp;uiLanguage=en" TargetMode="External"/><Relationship Id="rId111" Type="http://schemas.openxmlformats.org/officeDocument/2006/relationships/hyperlink" Target="https://www.doabooks.org/doab?func=subject&amp;cpId=41&amp;uiLanguage=en"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livros.unb.br/index.php/portal/catalog/view/12/10/43-1" TargetMode="External"/><Relationship Id="rId42" Type="http://schemas.openxmlformats.org/officeDocument/2006/relationships/hyperlink" Target="https://hdl.handle.net/1884/67903" TargetMode="External"/><Relationship Id="rId41" Type="http://schemas.openxmlformats.org/officeDocument/2006/relationships/hyperlink" Target="https://portal-archipelagus.azurewebsites.net/farol/eduepg/ebook/desafios-e-avancos-da-cadeia-produtiva-do-leite/1205431/" TargetMode="External"/><Relationship Id="rId44" Type="http://schemas.openxmlformats.org/officeDocument/2006/relationships/hyperlink" Target="http://repositorio.ufpel.edu.br:8080/bitstream/prefix/3800/1/5_DILEMAS%20E%20DESAFIOS%20NA%20VALORIZA%C3%87%C3%83O%20DE%20PRODUTOS%20ALIMENTARES%20TRADICIONAIS%20NO%20BRASIL%20_S%C3%89RIE%20P%C3%93S%20GRADUA%C3%87%C3%83O.pdf" TargetMode="External"/><Relationship Id="rId43" Type="http://schemas.openxmlformats.org/officeDocument/2006/relationships/hyperlink" Target="http://www2.ufac.br/editora/livros/diagnostico-socioeconomico.pdf" TargetMode="External"/><Relationship Id="rId46" Type="http://schemas.openxmlformats.org/officeDocument/2006/relationships/hyperlink" Target="https://www.dropbox.com/s/dbs9ik164llsfwd/EbookDireitoAgrarioAmbiental.pdf?dl=0" TargetMode="External"/><Relationship Id="rId45" Type="http://schemas.openxmlformats.org/officeDocument/2006/relationships/hyperlink" Target="http://hdl.handle.net/10183/52803" TargetMode="External"/><Relationship Id="rId107" Type="http://schemas.openxmlformats.org/officeDocument/2006/relationships/drawing" Target="../drawings/drawing2.xml"/><Relationship Id="rId106" Type="http://schemas.openxmlformats.org/officeDocument/2006/relationships/hyperlink" Target="http://hdl.handle.net/10183/193048" TargetMode="External"/><Relationship Id="rId105" Type="http://schemas.openxmlformats.org/officeDocument/2006/relationships/hyperlink" Target="http://repositorio.ufes.br/handle/10/1899" TargetMode="External"/><Relationship Id="rId104" Type="http://schemas.openxmlformats.org/officeDocument/2006/relationships/hyperlink" Target="http://hdl.handle.net/10183/56450" TargetMode="External"/><Relationship Id="rId109" Type="http://schemas.openxmlformats.org/officeDocument/2006/relationships/table" Target="../tables/table1.xml"/><Relationship Id="rId48" Type="http://schemas.openxmlformats.org/officeDocument/2006/relationships/hyperlink" Target="http://hdl.handle.net/10183/56502" TargetMode="External"/><Relationship Id="rId47" Type="http://schemas.openxmlformats.org/officeDocument/2006/relationships/hyperlink" Target="http://hdl.handle.net/10183/56452" TargetMode="External"/><Relationship Id="rId49" Type="http://schemas.openxmlformats.org/officeDocument/2006/relationships/hyperlink" Target="http://hdl.handle.net/10183/179684" TargetMode="External"/><Relationship Id="rId103" Type="http://schemas.openxmlformats.org/officeDocument/2006/relationships/hyperlink" Target="http://omp.ufgd.edu.br/omp/index.php/livrosabertos/catalog/view/39/29/93-1" TargetMode="External"/><Relationship Id="rId102" Type="http://schemas.openxmlformats.org/officeDocument/2006/relationships/hyperlink" Target="http://omp.ufgd.edu.br/omp/index.php/livrosabertos/catalog/view/238/125/405-1" TargetMode="External"/><Relationship Id="rId101" Type="http://schemas.openxmlformats.org/officeDocument/2006/relationships/hyperlink" Target="http://www2.ufac.br/editora/livros/TERRITORIALIDADE.pdf" TargetMode="External"/><Relationship Id="rId100" Type="http://schemas.openxmlformats.org/officeDocument/2006/relationships/hyperlink" Target="http://hdl.handle.net/10183/52804" TargetMode="External"/><Relationship Id="rId31" Type="http://schemas.openxmlformats.org/officeDocument/2006/relationships/hyperlink" Target="http://www.uesc.br/editora/livrosdigitais2015/conflito_cooperacao.pdf" TargetMode="External"/><Relationship Id="rId30" Type="http://schemas.openxmlformats.org/officeDocument/2006/relationships/hyperlink" Target="http://www.uesc.br/editora/livrosdigitais2015/conceitos_de_bacias.pdf" TargetMode="External"/><Relationship Id="rId33" Type="http://schemas.openxmlformats.org/officeDocument/2006/relationships/hyperlink" Target="https://hdl.handle.net/1884/67897" TargetMode="External"/><Relationship Id="rId32" Type="http://schemas.openxmlformats.org/officeDocument/2006/relationships/hyperlink" Target="http://omp.ufgd.edu.br/omp/index.php/livrosabertos/catalog/view/63/67/230-1" TargetMode="External"/><Relationship Id="rId35" Type="http://schemas.openxmlformats.org/officeDocument/2006/relationships/hyperlink" Target="https://www.yumpu.com/xx/embed/view/4yrP2OStJUuBAnCa" TargetMode="External"/><Relationship Id="rId34" Type="http://schemas.openxmlformats.org/officeDocument/2006/relationships/hyperlink" Target="https://hdl.handle.net/1884/67898" TargetMode="External"/><Relationship Id="rId37" Type="http://schemas.openxmlformats.org/officeDocument/2006/relationships/hyperlink" Target="https://portal-archipelagus.azurewebsites.net/farol/eduepg/ebook/cultura-do-feijao-doencas-e-controle/52242/" TargetMode="External"/><Relationship Id="rId36" Type="http://schemas.openxmlformats.org/officeDocument/2006/relationships/hyperlink" Target="http://eduepb.uepb.edu.br/download/cultivo-de-girassol-para-apicultura-forragem-e-produc%cc%a7a%cc%83o-de-oleo/?wpdmdl=172&amp;amp;masterkey=5af9987741d73" TargetMode="External"/><Relationship Id="rId39" Type="http://schemas.openxmlformats.org/officeDocument/2006/relationships/hyperlink" Target="http://omp.ufgd.edu.br/omp/index.php/livrosabertos/catalog/view/332/263/2487-1" TargetMode="External"/><Relationship Id="rId38" Type="http://schemas.openxmlformats.org/officeDocument/2006/relationships/hyperlink" Target="http://portal.unemat.br/media/files/editora_cartilha-a-campo-custo-de-producao-de-abobora-e-book.pdf" TargetMode="External"/><Relationship Id="rId20" Type="http://schemas.openxmlformats.org/officeDocument/2006/relationships/hyperlink" Target="http://hdl.handle.net/10183/213231" TargetMode="External"/><Relationship Id="rId22" Type="http://schemas.openxmlformats.org/officeDocument/2006/relationships/hyperlink" Target="https://editora.ifc.edu.br/2017/03/20/boletim-de-diagnostico-do-laboratorio-de-patologia-veterinaria-ifc-2016/" TargetMode="External"/><Relationship Id="rId21" Type="http://schemas.openxmlformats.org/officeDocument/2006/relationships/hyperlink" Target="https://portaleditora.ufra.edu.br/images/PROVA-APROVADA-PARA-IMPRESSO--CARTILHA-BOAS-PRATICAS-04-04-baixa.pdf" TargetMode="External"/><Relationship Id="rId24" Type="http://schemas.openxmlformats.org/officeDocument/2006/relationships/hyperlink" Target="http://www.uesc.br/editora/livrosdigitais2016/cacau_riqueza_pobres.pdf" TargetMode="External"/><Relationship Id="rId23" Type="http://schemas.openxmlformats.org/officeDocument/2006/relationships/hyperlink" Target="http://www.uesc.br/editora/livrosdigitais_20141023/cacaugraviola.pdf" TargetMode="External"/><Relationship Id="rId26" Type="http://schemas.openxmlformats.org/officeDocument/2006/relationships/hyperlink" Target="https://paginas.uepa.br/eduepa/wp-content/uploads/2019/06/CARNES-E-DERIVADOS-par%C3%A2metros-e-metodologias-para-o-controle-de-qualidade.pdf" TargetMode="External"/><Relationship Id="rId25" Type="http://schemas.openxmlformats.org/officeDocument/2006/relationships/hyperlink" Target="http://www.uesc.br/editora/livrosdigitais2018/cacauicultura.pdf" TargetMode="External"/><Relationship Id="rId28" Type="http://schemas.openxmlformats.org/officeDocument/2006/relationships/hyperlink" Target="https://hdl.handle.net/1884/67902" TargetMode="External"/><Relationship Id="rId27" Type="http://schemas.openxmlformats.org/officeDocument/2006/relationships/hyperlink" Target="http://portal.unemat.br/media/files/Editora/Cartilha%20Forrageiras%20de%20Interesse%20Zoot%C3%A9cnico_VF%20(1).pdf" TargetMode="External"/><Relationship Id="rId29" Type="http://schemas.openxmlformats.org/officeDocument/2006/relationships/hyperlink" Target="http://ufrr.br/editora/index.php/editais?download=437" TargetMode="External"/><Relationship Id="rId95" Type="http://schemas.openxmlformats.org/officeDocument/2006/relationships/hyperlink" Target="http://omp.ufgd.edu.br/omp/index.php/livrosabertos/catalog/view/49/49/128-1" TargetMode="External"/><Relationship Id="rId94" Type="http://schemas.openxmlformats.org/officeDocument/2006/relationships/hyperlink" Target="http://hdl.handle.net/10183/211399" TargetMode="External"/><Relationship Id="rId97" Type="http://schemas.openxmlformats.org/officeDocument/2006/relationships/hyperlink" Target="https://paginas.uepa.br/eduepa/wp-content/uploads/2019/06/TECNICAS-DE-ANALISE-02-03-2018.pdf" TargetMode="External"/><Relationship Id="rId96" Type="http://schemas.openxmlformats.org/officeDocument/2006/relationships/hyperlink" Target="http://eduepb.uepb.edu.br/download/sustentabilidade-ambiental-teorias-metodos-e-tecnicas/?wpdmdl=910&amp;" TargetMode="External"/><Relationship Id="rId11" Type="http://schemas.openxmlformats.org/officeDocument/2006/relationships/hyperlink" Target="http://www2.ufac.br/editora/livros/acre-reka-eureka.pdf" TargetMode="External"/><Relationship Id="rId99" Type="http://schemas.openxmlformats.org/officeDocument/2006/relationships/hyperlink" Target="https://www.dropbox.com/s/zfwicnyl80dnal9/Tecnologias_Sociais_E_book.pdf?dl=0" TargetMode="External"/><Relationship Id="rId10" Type="http://schemas.openxmlformats.org/officeDocument/2006/relationships/hyperlink" Target="http://omp.ufgd.edu.br/omp/index.php/livrosabertos/catalog/view/245/118/396-1" TargetMode="External"/><Relationship Id="rId98" Type="http://schemas.openxmlformats.org/officeDocument/2006/relationships/hyperlink" Target="http://omp.ufgd.edu.br/omp/index.php/livrosabertos/catalog/view/231/109/386-1" TargetMode="External"/><Relationship Id="rId13" Type="http://schemas.openxmlformats.org/officeDocument/2006/relationships/hyperlink" Target="http://cdn.ueg.edu.br/source/editora_ueg/conteudo_compartilhado/11101/ebook_agrotoxicos_agroecologia_2019.pdf" TargetMode="External"/><Relationship Id="rId12" Type="http://schemas.openxmlformats.org/officeDocument/2006/relationships/hyperlink" Target="http://hdl.handle.net/1884/47918" TargetMode="External"/><Relationship Id="rId91" Type="http://schemas.openxmlformats.org/officeDocument/2006/relationships/hyperlink" Target="http://www2.ufac.br/editora/livros/reserva-extrativista-chico-mendes.pdf" TargetMode="External"/><Relationship Id="rId90" Type="http://schemas.openxmlformats.org/officeDocument/2006/relationships/hyperlink" Target="http://www2.ufac.br/editora/livros/reduzindo-os-elos-da-cadeia.pdf" TargetMode="External"/><Relationship Id="rId93" Type="http://schemas.openxmlformats.org/officeDocument/2006/relationships/hyperlink" Target="http://omp.ufgd.edu.br/omp/index.php/livrosabertos/catalog/view/50/50/130-2" TargetMode="External"/><Relationship Id="rId92" Type="http://schemas.openxmlformats.org/officeDocument/2006/relationships/hyperlink" Target="http://repositorio.ufes.br/bitstream/10/1337/6/Livro%20edufes%20saberes%2C%20narrativas%20e%20conflitos%20na%20pesca%20artesanal.pdf" TargetMode="External"/><Relationship Id="rId15" Type="http://schemas.openxmlformats.org/officeDocument/2006/relationships/hyperlink" Target="https://portaleditora.ufra.edu.br/images/Analise-de-Solos.pdf" TargetMode="External"/><Relationship Id="rId14" Type="http://schemas.openxmlformats.org/officeDocument/2006/relationships/hyperlink" Target="http://omp.ufgd.edu.br/omp/index.php/livrosabertos/catalog/view/211/78/325-1" TargetMode="External"/><Relationship Id="rId17" Type="http://schemas.openxmlformats.org/officeDocument/2006/relationships/hyperlink" Target="https://portaleditora.ufra.edu.br/images/OK_ufra_ARMAGENAMENTO-12.pdf" TargetMode="External"/><Relationship Id="rId16" Type="http://schemas.openxmlformats.org/officeDocument/2006/relationships/hyperlink" Target="https://hdl.handle.net/1884/63928" TargetMode="External"/><Relationship Id="rId19" Type="http://schemas.openxmlformats.org/officeDocument/2006/relationships/hyperlink" Target="http://hdl.handle.net/10183/213226" TargetMode="External"/><Relationship Id="rId18" Type="http://schemas.openxmlformats.org/officeDocument/2006/relationships/hyperlink" Target="http://eduepb.uepb.edu.br/download/as-fazendas-de-gado-dos-jesuitas-na-paraiba-colonial/?wpdmdl=162&amp;amp;masterkey=5af9965007c0a" TargetMode="External"/><Relationship Id="rId84" Type="http://schemas.openxmlformats.org/officeDocument/2006/relationships/hyperlink" Target="https://editora.ifc.edu.br/2017/03/17/procedimentos-operacionais-padronizados-de-bromatologia-de-alimentos-1a-edicao/" TargetMode="External"/><Relationship Id="rId83" Type="http://schemas.openxmlformats.org/officeDocument/2006/relationships/hyperlink" Target="http://hdl.handle.net/10183/56454" TargetMode="External"/><Relationship Id="rId86" Type="http://schemas.openxmlformats.org/officeDocument/2006/relationships/hyperlink" Target="http://www2.ufac.br/editora/livros/projetos-de-desenvolvimento-sustentavel-na-amazonico.pdf" TargetMode="External"/><Relationship Id="rId85" Type="http://schemas.openxmlformats.org/officeDocument/2006/relationships/hyperlink" Target="http://www2.ufac.br/editora/livros/diagnostico-social.pdf" TargetMode="External"/><Relationship Id="rId88" Type="http://schemas.openxmlformats.org/officeDocument/2006/relationships/hyperlink" Target="http://hdl.handle.net/10183/189274" TargetMode="External"/><Relationship Id="rId87" Type="http://schemas.openxmlformats.org/officeDocument/2006/relationships/hyperlink" Target="http://www.eduff.uff.br/ebooks/Qualidade-do-leite.pdf" TargetMode="External"/><Relationship Id="rId89" Type="http://schemas.openxmlformats.org/officeDocument/2006/relationships/hyperlink" Target="http://www.uesc.br/editora/livrosdigitais2016/recuperacao_ambiental_da_mata_atlantica_nova.pdf" TargetMode="External"/><Relationship Id="rId80" Type="http://schemas.openxmlformats.org/officeDocument/2006/relationships/hyperlink" Target="https://www.ufpi.br/arquivos_download/arquivos/EDUFPI_Pindorama_2019_Final_nov_201920191107154359.pdf" TargetMode="External"/><Relationship Id="rId82" Type="http://schemas.openxmlformats.org/officeDocument/2006/relationships/hyperlink" Target="http://www.uesc.br/editora/livrosdigitais2015/politicas_publicas.pdf" TargetMode="External"/><Relationship Id="rId81" Type="http://schemas.openxmlformats.org/officeDocument/2006/relationships/hyperlink" Target="http://hdl.handle.net/10183/56513" TargetMode="External"/><Relationship Id="rId1" Type="http://schemas.openxmlformats.org/officeDocument/2006/relationships/hyperlink" Target="http://www.uesc.br/editora/livrosdigitais2015/500_anos_uso_solo.pdf" TargetMode="External"/><Relationship Id="rId2" Type="http://schemas.openxmlformats.org/officeDocument/2006/relationships/hyperlink" Target="https://hdl.handle.net/1884/61705" TargetMode="External"/><Relationship Id="rId3" Type="http://schemas.openxmlformats.org/officeDocument/2006/relationships/hyperlink" Target="http://omp.ufgd.edu.br/omp/index.php/livrosabertos/catalog/view/62/66/227-1" TargetMode="External"/><Relationship Id="rId4" Type="http://schemas.openxmlformats.org/officeDocument/2006/relationships/hyperlink" Target="http://hdl.handle.net/10183/213319" TargetMode="External"/><Relationship Id="rId9" Type="http://schemas.openxmlformats.org/officeDocument/2006/relationships/hyperlink" Target="https://editora.ifc.edu.br/2018/11/30/a-proposta-catarinense-para-o-ensino-tecnico-agricola-no-brasil-conea/" TargetMode="External"/><Relationship Id="rId5" Type="http://schemas.openxmlformats.org/officeDocument/2006/relationships/hyperlink" Target="http://hdl.handle.net/10183/211291" TargetMode="External"/><Relationship Id="rId6" Type="http://schemas.openxmlformats.org/officeDocument/2006/relationships/hyperlink" Target="http://hdl.handle.net/10183/56448" TargetMode="External"/><Relationship Id="rId7" Type="http://schemas.openxmlformats.org/officeDocument/2006/relationships/hyperlink" Target="http://cdn.ueg.edu.br/source/editora_ueg/conteudoN/4946/pdf_colecao_olhares/livro10_mario_roberto.pdf" TargetMode="External"/><Relationship Id="rId8" Type="http://schemas.openxmlformats.org/officeDocument/2006/relationships/hyperlink" Target="http://omp.ufgd.edu.br/omp/index.php/livrosabertos/catalog/view/27/42/114-1" TargetMode="External"/><Relationship Id="rId73" Type="http://schemas.openxmlformats.org/officeDocument/2006/relationships/hyperlink" Target="http://www.uesc.br/editora/livrosdigitais2015/o_desafio_da_agricultura.pdf" TargetMode="External"/><Relationship Id="rId72" Type="http://schemas.openxmlformats.org/officeDocument/2006/relationships/hyperlink" Target="http://www.uesc.br/editora/livrosdigitais2015/nossas_arvores.pdf" TargetMode="External"/><Relationship Id="rId75" Type="http://schemas.openxmlformats.org/officeDocument/2006/relationships/hyperlink" Target="http://portal.unemat.br/media/files/Editora/E-BOOK%20-%20ORIENTA%C3%87%C3%95ES%20AGRON%C3%94MICAS%20PARA%20PRODUTORES%20DA%20REGI%C3%83O%20SUDOESTE%20DE%20MATO%20GROSSO.pdf" TargetMode="External"/><Relationship Id="rId74" Type="http://schemas.openxmlformats.org/officeDocument/2006/relationships/hyperlink" Target="http://eduepb.uepb.edu.br/download/oliogenosas/?wpdmdl=1048&amp;" TargetMode="External"/><Relationship Id="rId77" Type="http://schemas.openxmlformats.org/officeDocument/2006/relationships/hyperlink" Target="http://repositorio.ufes.br/bitstream/10/11421/1/parasitologia-veterinaria_livro-digital.pdf" TargetMode="External"/><Relationship Id="rId76" Type="http://schemas.openxmlformats.org/officeDocument/2006/relationships/hyperlink" Target="http://www.eduff.uff.br/ebooks/Os-fornecedores-de-cana-e-o-Estado-intervencionista.pdf" TargetMode="External"/><Relationship Id="rId79" Type="http://schemas.openxmlformats.org/officeDocument/2006/relationships/hyperlink" Target="http://www.uesc.br/editora/livrosdigitais2016/piacava_da_bahia.pdf" TargetMode="External"/><Relationship Id="rId78" Type="http://schemas.openxmlformats.org/officeDocument/2006/relationships/hyperlink" Target="https://www.ufpi.br/arquivos_download/arquivos/EDUFPI/Livro-Pesquisas_e_a%C3%A7%C3%B5es_do_grupo_de_estudos_sobre_abelhas_do_semi%C3%A1rido_piauiense.pdf" TargetMode="External"/><Relationship Id="rId71" Type="http://schemas.openxmlformats.org/officeDocument/2006/relationships/hyperlink" Target="http://omp.ufgd.edu.br/omp/index.php/livrosabertos/catalog/view/253/250/548-1" TargetMode="External"/><Relationship Id="rId70" Type="http://schemas.openxmlformats.org/officeDocument/2006/relationships/hyperlink" Target="https://drive.google.com/file/d/1WAFPzQ_goTstsQucB_84bziDO_bOlGZ0/view?usp=sharing" TargetMode="External"/><Relationship Id="rId62" Type="http://schemas.openxmlformats.org/officeDocument/2006/relationships/hyperlink" Target="http://www.uesc.br/editora/livrosdigitais2019/manejo_integrado_das_pragas.pdf" TargetMode="External"/><Relationship Id="rId61" Type="http://schemas.openxmlformats.org/officeDocument/2006/relationships/hyperlink" Target="https://portal-archipelagus.azurewebsites.net/farol/eduepg/ebook/manejo-da-irrigacao-via-clima-na-cultura-da-maca/1205217/" TargetMode="External"/><Relationship Id="rId64" Type="http://schemas.openxmlformats.org/officeDocument/2006/relationships/hyperlink" Target="https://www.dropbox.com/s/3e1i4b69arev34p/Manual_zoonoses_web.pdf?dl=0" TargetMode="External"/><Relationship Id="rId63" Type="http://schemas.openxmlformats.org/officeDocument/2006/relationships/hyperlink" Target="http://www2.ufac.br/editora/livros/LivroSementes18122019.pdf" TargetMode="External"/><Relationship Id="rId66" Type="http://schemas.openxmlformats.org/officeDocument/2006/relationships/hyperlink" Target="http://www.uesc.br/editora/livrosdigitais2016/maracuja_avancos_tecnologicos_sustentabilidade.pdf" TargetMode="External"/><Relationship Id="rId65" Type="http://schemas.openxmlformats.org/officeDocument/2006/relationships/hyperlink" Target="https://editora.ifc.edu.br/2019/03/29/manual-didatico-de-estagio-um-roteiro-comentado-pelo-professor-para-realizacao-do-programa-de-estagio-supervisionado-no-curso-de-licenciatura-em-ciencias-agricolas-agrarias/" TargetMode="External"/><Relationship Id="rId68" Type="http://schemas.openxmlformats.org/officeDocument/2006/relationships/hyperlink" Target="http://hdl.handle.net/10183/60481" TargetMode="External"/><Relationship Id="rId67" Type="http://schemas.openxmlformats.org/officeDocument/2006/relationships/hyperlink" Target="https://drive.google.com/file/d/1ZujvOjl_pNTp2fXXvkWdWWxF6wtVuHhG/view?usp=sharing" TargetMode="External"/><Relationship Id="rId60" Type="http://schemas.openxmlformats.org/officeDocument/2006/relationships/hyperlink" Target="http://omp.ufgd.edu.br/omp/index.php/livrosabertos/catalog/view/240/123/402-1" TargetMode="External"/><Relationship Id="rId69" Type="http://schemas.openxmlformats.org/officeDocument/2006/relationships/hyperlink" Target="http://www.uesc.br/editora/livrosdigitais2018/metodos_tecnicas_bacias.pdf" TargetMode="External"/><Relationship Id="rId51" Type="http://schemas.openxmlformats.org/officeDocument/2006/relationships/hyperlink" Target="http://omp.ufgd.edu.br/omp/index.php/livrosabertos/catalog/view/98/104/380-1" TargetMode="External"/><Relationship Id="rId50" Type="http://schemas.openxmlformats.org/officeDocument/2006/relationships/hyperlink" Target="http://eduepb.uepb.edu.br/download/engenho-de-cana-de-acucar-na-paraiba-por-uma-sociologia-da-cachaca/?wpdmdl=181&amp;amp;masterkey=5af99a3c398fd" TargetMode="External"/><Relationship Id="rId53" Type="http://schemas.openxmlformats.org/officeDocument/2006/relationships/hyperlink" Target="http://editora.ifpb.edu.br/index.php/ifpb/catalog/book/348" TargetMode="External"/><Relationship Id="rId52" Type="http://schemas.openxmlformats.org/officeDocument/2006/relationships/hyperlink" Target="http://omp.ufgd.edu.br/omp/index.php/livrosabertos/catalog/view/99/105/381-1" TargetMode="External"/><Relationship Id="rId55" Type="http://schemas.openxmlformats.org/officeDocument/2006/relationships/hyperlink" Target="http://hdl.handle.net/10183/185826" TargetMode="External"/><Relationship Id="rId54" Type="http://schemas.openxmlformats.org/officeDocument/2006/relationships/hyperlink" Target="https://hdl.handle.net/1884/67900" TargetMode="External"/><Relationship Id="rId57" Type="http://schemas.openxmlformats.org/officeDocument/2006/relationships/hyperlink" Target="http://hdl.handle.net/10183/56458" TargetMode="External"/><Relationship Id="rId56" Type="http://schemas.openxmlformats.org/officeDocument/2006/relationships/hyperlink" Target="http://hdl.handle.net/10183/56451" TargetMode="External"/><Relationship Id="rId59" Type="http://schemas.openxmlformats.org/officeDocument/2006/relationships/hyperlink" Target="https://hdl.handle.net/1884/63988" TargetMode="External"/><Relationship Id="rId58" Type="http://schemas.openxmlformats.org/officeDocument/2006/relationships/hyperlink" Target="http://editora.ifpb.edu.br/index.php/ifpb/catalog/book/71"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www.editora.ufpb.br/sistema/press5/index.php/UFPB/catalog/book/337" TargetMode="External"/><Relationship Id="rId42" Type="http://schemas.openxmlformats.org/officeDocument/2006/relationships/hyperlink" Target="https://www.dropbox.com/s/2v6sypeo3e9l28j/Michereff%20et%20al.%20%282005%29%20-%20Pat%C3%B3genos%20radiculares.pdf?dl=0" TargetMode="External"/><Relationship Id="rId41" Type="http://schemas.openxmlformats.org/officeDocument/2006/relationships/hyperlink" Target="http://repositorio.ufpel.edu.br:8080/bitstream/prefix/3714/6/drosophila_epub.epub" TargetMode="External"/><Relationship Id="rId44" Type="http://schemas.openxmlformats.org/officeDocument/2006/relationships/hyperlink" Target="https://portaleditora.ufra.edu.br/images/ecossistemas_aquaticos_ok.pdf" TargetMode="External"/><Relationship Id="rId43" Type="http://schemas.openxmlformats.org/officeDocument/2006/relationships/hyperlink" Target="https://www.yumpu.com/xx/embed/view/sKrEU10mpAh4z5Pk" TargetMode="External"/><Relationship Id="rId46" Type="http://schemas.openxmlformats.org/officeDocument/2006/relationships/hyperlink" Target="http://www2.ufac.br/editora/livros/etnobotanica.pdf" TargetMode="External"/><Relationship Id="rId45" Type="http://schemas.openxmlformats.org/officeDocument/2006/relationships/hyperlink" Target="https://www.dropbox.com/s/yrdphyi8ho713t3/Estado_arte_fitobacterioses_tropicais.pdf?dl=0" TargetMode="External"/><Relationship Id="rId48" Type="http://schemas.openxmlformats.org/officeDocument/2006/relationships/hyperlink" Target="https://www.dropbox.com/s/v7dq2ft8sbfih65/Livro_Ferramentas_da_Qualidade_Ajuste.pdf?dl=0" TargetMode="External"/><Relationship Id="rId47" Type="http://schemas.openxmlformats.org/officeDocument/2006/relationships/hyperlink" Target="https://www.editora.ufop.br/index.php/editora/catalog/view/52/37/123-1" TargetMode="External"/><Relationship Id="rId49" Type="http://schemas.openxmlformats.org/officeDocument/2006/relationships/hyperlink" Target="http://www.uesc.br/editora/livrosdigitais2018/fibras_vegetais.pdf" TargetMode="External"/><Relationship Id="rId31" Type="http://schemas.openxmlformats.org/officeDocument/2006/relationships/hyperlink" Target="https://hdl.handle.net/1884/67105" TargetMode="External"/><Relationship Id="rId30" Type="http://schemas.openxmlformats.org/officeDocument/2006/relationships/hyperlink" Target="https://hdl.handle.net/1884/45943" TargetMode="External"/><Relationship Id="rId33" Type="http://schemas.openxmlformats.org/officeDocument/2006/relationships/hyperlink" Target="https://www.dropbox.com/s/8178ye81j8ecquv/Conserva%C3%A7%C3%A3o_de_Tartarugas_web.pdf?dl=0" TargetMode="External"/><Relationship Id="rId32" Type="http://schemas.openxmlformats.org/officeDocument/2006/relationships/hyperlink" Target="https://hdl.handle.net/1884/63929" TargetMode="External"/><Relationship Id="rId35" Type="http://schemas.openxmlformats.org/officeDocument/2006/relationships/hyperlink" Target="https://drive.google.com/file/d/11Qck4xQj69je4OexBId2JvZw2g7ESSpW/view?usp=sharing" TargetMode="External"/><Relationship Id="rId34" Type="http://schemas.openxmlformats.org/officeDocument/2006/relationships/hyperlink" Target="http://guaiaca.ufpel.edu.br:8080/bitstream/prefix/4220/3/Contribui%c3%a7%c3%b5es_da_Evolu%c3%a7%c3%a3o_biologica_completo%20-%20reposit%c3%b3rio.pdf" TargetMode="External"/><Relationship Id="rId37" Type="http://schemas.openxmlformats.org/officeDocument/2006/relationships/hyperlink" Target="http://ufrr.br/editora/index.php/editais/category/40-editais?download=396:aonuaos70" TargetMode="External"/><Relationship Id="rId36" Type="http://schemas.openxmlformats.org/officeDocument/2006/relationships/hyperlink" Target="https://repositorio.ufsc.br/handle/123456789/187610" TargetMode="External"/><Relationship Id="rId39" Type="http://schemas.openxmlformats.org/officeDocument/2006/relationships/hyperlink" Target="https://drive.google.com/file/d/1GEp8ANUcoDlfwtRp4Y3125k-OdxmCyWR/view?usp=sharing" TargetMode="External"/><Relationship Id="rId38" Type="http://schemas.openxmlformats.org/officeDocument/2006/relationships/hyperlink" Target="https://drive.google.com/file/d/1NBCwE8euKG7UkNtbhU2GGbpow0oyg6UA/view?usp=sharing" TargetMode="External"/><Relationship Id="rId20" Type="http://schemas.openxmlformats.org/officeDocument/2006/relationships/hyperlink" Target="https://www.eduerj.com/eng/?product=biodiversidade-e-sociedade-no-leste-metropolitano-do-rio-de-janeiro-ebook" TargetMode="External"/><Relationship Id="rId22" Type="http://schemas.openxmlformats.org/officeDocument/2006/relationships/hyperlink" Target="http://www.editora.ufpb.br/sistema/press5/index.php/UFPB/catalog/book/314" TargetMode="External"/><Relationship Id="rId21" Type="http://schemas.openxmlformats.org/officeDocument/2006/relationships/hyperlink" Target="http://repositorio.unesc.net/handle/1/4844" TargetMode="External"/><Relationship Id="rId24" Type="http://schemas.openxmlformats.org/officeDocument/2006/relationships/hyperlink" Target="http://www.editora.ufpb.br/sistema/press5/index.php/UFPB/catalog/book/326" TargetMode="External"/><Relationship Id="rId23" Type="http://schemas.openxmlformats.org/officeDocument/2006/relationships/hyperlink" Target="https://www.ufcspa.edu.br/editora_log/download.php?cod=017&amp;tipo=pdf" TargetMode="External"/><Relationship Id="rId26" Type="http://schemas.openxmlformats.org/officeDocument/2006/relationships/hyperlink" Target="https://paginas.uepa.br/eduepa/wp-content/uploads/2019/06/CI%C3%8ANCIAS-AMBIENTAIS-EBOOK-eduepa.pdf" TargetMode="External"/><Relationship Id="rId25" Type="http://schemas.openxmlformats.org/officeDocument/2006/relationships/hyperlink" Target="https://www.editora.ufop.br/index.php/editora/catalog/view/152/121/397-1" TargetMode="External"/><Relationship Id="rId28" Type="http://schemas.openxmlformats.org/officeDocument/2006/relationships/hyperlink" Target="http://www2.ufac.br/editora/livros/complexo-vegetacional-sobre-areia-branca.pdf" TargetMode="External"/><Relationship Id="rId27" Type="http://schemas.openxmlformats.org/officeDocument/2006/relationships/hyperlink" Target="https://www2.unifap.br/editora/files/2014/12/Livro-CB-finalizado.pdf" TargetMode="External"/><Relationship Id="rId29" Type="http://schemas.openxmlformats.org/officeDocument/2006/relationships/hyperlink" Target="https://editora.ifc.edu.br/2019/04/30/composteira-portatil-manual-tecnico-com-passo-a-passo-para-construcao-e-indicacao-de-aplicacoes-didaticas-interdisciplinares/" TargetMode="External"/><Relationship Id="rId11" Type="http://schemas.openxmlformats.org/officeDocument/2006/relationships/hyperlink" Target="http://www.uesc.br/editora/livrosdigitais2016/as_serpentes_dos_cacauais_do_sudeste_da_bahia.pdf" TargetMode="External"/><Relationship Id="rId10" Type="http://schemas.openxmlformats.org/officeDocument/2006/relationships/hyperlink" Target="http://www.uesc.br/editora/livrosdigitais2016/as_formigas_poneromorfas.pdf" TargetMode="External"/><Relationship Id="rId13" Type="http://schemas.openxmlformats.org/officeDocument/2006/relationships/hyperlink" Target="http://www.editora.ufc.br/catalogo/74-biologia/976-atividades-praticas-em-biologia-celular" TargetMode="External"/><Relationship Id="rId12" Type="http://schemas.openxmlformats.org/officeDocument/2006/relationships/hyperlink" Target="http://guaiaca.ufpel.edu.br/bitstream/prefix/4023/3/TICS.pdf" TargetMode="External"/><Relationship Id="rId90" Type="http://schemas.openxmlformats.org/officeDocument/2006/relationships/table" Target="../tables/table2.xml"/><Relationship Id="rId15" Type="http://schemas.openxmlformats.org/officeDocument/2006/relationships/hyperlink" Target="http://www2.ufac.br/editora/livros/aves-do-acre.pdf" TargetMode="External"/><Relationship Id="rId14" Type="http://schemas.openxmlformats.org/officeDocument/2006/relationships/hyperlink" Target="https://portaleditora.ufra.edu.br/images/Atlas-dos-msculos-do-co.pdf" TargetMode="External"/><Relationship Id="rId17" Type="http://schemas.openxmlformats.org/officeDocument/2006/relationships/hyperlink" Target="http://omp.ufgd.edu.br/omp/index.php/livrosabertos/catalog/view/4/3/16-1" TargetMode="External"/><Relationship Id="rId16" Type="http://schemas.openxmlformats.org/officeDocument/2006/relationships/hyperlink" Target="http://hdl.handle.net/1884/54947" TargetMode="External"/><Relationship Id="rId19" Type="http://schemas.openxmlformats.org/officeDocument/2006/relationships/hyperlink" Target="http://www.editora.ufpb.br/sistema/press5/index.php/UFPB/catalog/book/121" TargetMode="External"/><Relationship Id="rId18" Type="http://schemas.openxmlformats.org/officeDocument/2006/relationships/hyperlink" Target="http://www2.ufac.br/editora/livros/bichos-da-floresta-do-pz.pdf" TargetMode="External"/><Relationship Id="rId84" Type="http://schemas.openxmlformats.org/officeDocument/2006/relationships/hyperlink" Target="http://eduepb.uepb.edu.br/download/tecnicas-de-microbiologia-sanitaria-e-ambiental/?wpdmdl=219&amp;amp;masterkey=5af9a1e04d13a" TargetMode="External"/><Relationship Id="rId83" Type="http://schemas.openxmlformats.org/officeDocument/2006/relationships/hyperlink" Target="https://drive.google.com/file/d/1i4w-j83jxPdZNt2FuiCZr-uiYVvgax_m/view?usp=sharing" TargetMode="External"/><Relationship Id="rId86" Type="http://schemas.openxmlformats.org/officeDocument/2006/relationships/hyperlink" Target="http://www2.ufac.br/editora/livros/topicos-em-biotecnologia-e-biodiversidade.pdf" TargetMode="External"/><Relationship Id="rId85" Type="http://schemas.openxmlformats.org/officeDocument/2006/relationships/hyperlink" Target="http://cdn.ueg.edu.br/source/editora_ueg/conteudo_compartilhado/11013/Todo_dia_e_dia_de_ciencia_livro_2_seres_vivos.pdf" TargetMode="External"/><Relationship Id="rId88" Type="http://schemas.openxmlformats.org/officeDocument/2006/relationships/drawing" Target="../drawings/drawing3.xml"/><Relationship Id="rId87" Type="http://schemas.openxmlformats.org/officeDocument/2006/relationships/hyperlink" Target="https://www.dropbox.com/s/rz6h4hlrwm59tbs/Livro_VERTEBRADOS_TERRESTRES.pdf?dl=0" TargetMode="External"/><Relationship Id="rId80" Type="http://schemas.openxmlformats.org/officeDocument/2006/relationships/hyperlink" Target="https://drive.google.com/file/d/1tAHMtgb2_SZGcxXn3gMzAfrGfEkyvSIe/view?usp=sharing" TargetMode="External"/><Relationship Id="rId82" Type="http://schemas.openxmlformats.org/officeDocument/2006/relationships/hyperlink" Target="https://drive.google.com/file/d/1HoXokQdWAKUjG3w2pufLn28ljBbF60-P/view" TargetMode="External"/><Relationship Id="rId81" Type="http://schemas.openxmlformats.org/officeDocument/2006/relationships/hyperlink" Target="http://www2.ufac.br/editora/livros/serpentes-do-alto-jurua.pdf" TargetMode="External"/><Relationship Id="rId1" Type="http://schemas.openxmlformats.org/officeDocument/2006/relationships/hyperlink" Target="http://www2.ufac.br/editora/livros/des-envolvimento-insustentavel.pdf" TargetMode="External"/><Relationship Id="rId2" Type="http://schemas.openxmlformats.org/officeDocument/2006/relationships/hyperlink" Target="http://repositorio.ufes.br/bitstream/10/829/1/livro%20edufes%20Pr%C3%A1xis%20ambiental%20educativa%20di%C3%A1logo%20entre%20diferentes%20saberes.pdf" TargetMode="External"/><Relationship Id="rId3" Type="http://schemas.openxmlformats.org/officeDocument/2006/relationships/hyperlink" Target="http://campomourao.unespar.edu.br/editora/obras-digitais/abordagem-ambiental-interdisciplinar-em-bacias-hidrograficas-no-estado-do-parana" TargetMode="External"/><Relationship Id="rId4" Type="http://schemas.openxmlformats.org/officeDocument/2006/relationships/hyperlink" Target="https://drive.google.com/file/d/1-JHbITsxzeW_QKFGOsMeh9cVu0luLxY5/view" TargetMode="External"/><Relationship Id="rId9" Type="http://schemas.openxmlformats.org/officeDocument/2006/relationships/hyperlink" Target="https://repositorio.ufop.br/bitstream/123456789/4548/1/LIVRO_ArnicasEnd%c3%aamicasSerras.pdf" TargetMode="External"/><Relationship Id="rId5" Type="http://schemas.openxmlformats.org/officeDocument/2006/relationships/hyperlink" Target="https://www.editora.ufop.br/index.php/editora/catalog/view/146/116/381-1" TargetMode="External"/><Relationship Id="rId6" Type="http://schemas.openxmlformats.org/officeDocument/2006/relationships/hyperlink" Target="https://paginas.uepa.br/eduepa/wp-content/uploads/2019/09/AMAZ%C3%94NIA-FRONTEIRAS-GRANDES-PROJETOS.pdf" TargetMode="External"/><Relationship Id="rId7" Type="http://schemas.openxmlformats.org/officeDocument/2006/relationships/hyperlink" Target="http://www2.ufac.br/editora/livros/animais-silvestres-convivencia-e-risco.pdf" TargetMode="External"/><Relationship Id="rId8" Type="http://schemas.openxmlformats.org/officeDocument/2006/relationships/hyperlink" Target="https://drive.google.com/file/d/1rtQxiODwrciiFqyFVnMUQOy7-Hf9siIg/view" TargetMode="External"/><Relationship Id="rId73" Type="http://schemas.openxmlformats.org/officeDocument/2006/relationships/hyperlink" Target="https://repositorio.ufsc.br/handle/123456789/187925" TargetMode="External"/><Relationship Id="rId72" Type="http://schemas.openxmlformats.org/officeDocument/2006/relationships/hyperlink" Target="https://bit.ly/Politicas-ambientais-o-ambiente-e-voce" TargetMode="External"/><Relationship Id="rId75" Type="http://schemas.openxmlformats.org/officeDocument/2006/relationships/hyperlink" Target="https://drive.google.com/file/d/1Oe3zQ_vHuTViSFhQyyB9R8n70p0njmgS/view" TargetMode="External"/><Relationship Id="rId74" Type="http://schemas.openxmlformats.org/officeDocument/2006/relationships/hyperlink" Target="http://omp.ufgd.edu.br/omp/index.php/livrosabertos/catalog/view/228/112/389-1" TargetMode="External"/><Relationship Id="rId77" Type="http://schemas.openxmlformats.org/officeDocument/2006/relationships/hyperlink" Target="https://www.editora.ufop.br/index.php/editora/catalog/view/53/38/126-1" TargetMode="External"/><Relationship Id="rId76" Type="http://schemas.openxmlformats.org/officeDocument/2006/relationships/hyperlink" Target="http://guaiaca.ufpel.edu.br:8080/bitstream/prefix/4207/1/RESIST%c3%8aNCIA%20GEN%c3%89TICA%20DE%20PLANTAS%20A%20PAT%c3%93GENOS_EBOOK.pdf" TargetMode="External"/><Relationship Id="rId79" Type="http://schemas.openxmlformats.org/officeDocument/2006/relationships/hyperlink" Target="http://books.scielo.org/id/zfzg5/pdf/santos-9788575114858.pdf" TargetMode="External"/><Relationship Id="rId78" Type="http://schemas.openxmlformats.org/officeDocument/2006/relationships/hyperlink" Target="https://www.eduerj.com/eng/?product=saberes-tradicionais-e-locais-reflexoes-etnobiologicas" TargetMode="External"/><Relationship Id="rId71" Type="http://schemas.openxmlformats.org/officeDocument/2006/relationships/hyperlink" Target="http://editora.metodista.br/livros-gratis/politicaambiental.pdf/at_download/file" TargetMode="External"/><Relationship Id="rId70" Type="http://schemas.openxmlformats.org/officeDocument/2006/relationships/hyperlink" Target="https://repositorio.ufsc.br/handle/123456789/188057" TargetMode="External"/><Relationship Id="rId62" Type="http://schemas.openxmlformats.org/officeDocument/2006/relationships/hyperlink" Target="http://hdl.handle.net/1884/48760" TargetMode="External"/><Relationship Id="rId61" Type="http://schemas.openxmlformats.org/officeDocument/2006/relationships/hyperlink" Target="https://www.dropbox.com/s/69bwfglmzi8i48y/HRN_V2.pdf?dl=0" TargetMode="External"/><Relationship Id="rId64" Type="http://schemas.openxmlformats.org/officeDocument/2006/relationships/hyperlink" Target="http://www.editora.ufpb.br/sistema/press5/index.php/UFPB/catalog/book/116" TargetMode="External"/><Relationship Id="rId63" Type="http://schemas.openxmlformats.org/officeDocument/2006/relationships/hyperlink" Target="https://hdl.handle.net/1884/64922" TargetMode="External"/><Relationship Id="rId66" Type="http://schemas.openxmlformats.org/officeDocument/2006/relationships/hyperlink" Target="http://www.uesc.br/editora/livrosdigitais2017/morfologia_anatomia_vegetal.pdf" TargetMode="External"/><Relationship Id="rId65" Type="http://schemas.openxmlformats.org/officeDocument/2006/relationships/hyperlink" Target="https://paginas.uepa.br/eduepa/wp-content/uploads/2019/06/Manejo_de_Animais.pdf" TargetMode="External"/><Relationship Id="rId68" Type="http://schemas.openxmlformats.org/officeDocument/2006/relationships/hyperlink" Target="http://editora.ifpb.edu.br/index.php/ifpb/catalog/book/225" TargetMode="External"/><Relationship Id="rId67" Type="http://schemas.openxmlformats.org/officeDocument/2006/relationships/hyperlink" Target="http://www.editora.puc-rio.br/media/ebook_marcas_homem_na_floresta.pdf" TargetMode="External"/><Relationship Id="rId60" Type="http://schemas.openxmlformats.org/officeDocument/2006/relationships/hyperlink" Target="https://www.dropbox.com/s/vzunn5i0vr0708g/HRN_V1.pdf?dl=0" TargetMode="External"/><Relationship Id="rId69" Type="http://schemas.openxmlformats.org/officeDocument/2006/relationships/hyperlink" Target="https://paginas.uepa.br/eduepa/wp-content/uploads/2019/06/Multidisciplinaridade-CI%C3%8ANCIAS-AMBIENTAIS-2-E-BOOK-eduepa.pdf" TargetMode="External"/><Relationship Id="rId51" Type="http://schemas.openxmlformats.org/officeDocument/2006/relationships/hyperlink" Target="https://www.yumpu.com/pt/embed/view/tpFwvV8GoO593IR2" TargetMode="External"/><Relationship Id="rId50" Type="http://schemas.openxmlformats.org/officeDocument/2006/relationships/hyperlink" Target="https://www.dropbox.com/s/9w298gq5ql58kr9/Flora.pdf?dl=0" TargetMode="External"/><Relationship Id="rId53" Type="http://schemas.openxmlformats.org/officeDocument/2006/relationships/hyperlink" Target="https://www.dropbox.com/s/ixjwhqgox1kk0ee/Genetica_Geral_web.pdf?dl=0" TargetMode="External"/><Relationship Id="rId52" Type="http://schemas.openxmlformats.org/officeDocument/2006/relationships/hyperlink" Target="https://www.eduerj.com/eng/?product=fundamentos-da-microscopia" TargetMode="External"/><Relationship Id="rId55" Type="http://schemas.openxmlformats.org/officeDocument/2006/relationships/hyperlink" Target="http://ufrr.br/editora/index.php/editais?download=433" TargetMode="External"/><Relationship Id="rId54" Type="http://schemas.openxmlformats.org/officeDocument/2006/relationships/hyperlink" Target="http://www.servicos.ms.gov.br/imasuldownloads/Caderno_da_Gestao_Ambiental.pdf" TargetMode="External"/><Relationship Id="rId57" Type="http://schemas.openxmlformats.org/officeDocument/2006/relationships/hyperlink" Target="https://www.dropbox.com/s/hlk830gpjm4s526/GUIA_Anuros_final.pdf?dl=0" TargetMode="External"/><Relationship Id="rId56" Type="http://schemas.openxmlformats.org/officeDocument/2006/relationships/hyperlink" Target="https://drive.google.com/file/d/1l7G_NvbeM6DyZglbHdXQGmNdL_eO94GC/view?usp=sharing" TargetMode="External"/><Relationship Id="rId59" Type="http://schemas.openxmlformats.org/officeDocument/2006/relationships/hyperlink" Target="http://omp.ufgd.edu.br/omp/index.php/livrosabertos/catalog/view/222/130/410-1" TargetMode="External"/><Relationship Id="rId58" Type="http://schemas.openxmlformats.org/officeDocument/2006/relationships/hyperlink" Target="https://www.dropbox.com/s/354jf0bt80lvkal/Guia_repteis_final.pdf?dl=0"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repositorio.ufes.br/bitstream/10/794/1/livro%20edufes%20Conex%C3%A3o%20Sa%C3%BAde%20o%20protagonismo%20de%20universitarios%20em%20comunidades%20populares.pdf" TargetMode="External"/><Relationship Id="rId42" Type="http://schemas.openxmlformats.org/officeDocument/2006/relationships/hyperlink" Target="https://www.unoesc.edu.br/images/uploads/editora/Congresso_Euromotricidade_2018.pdf" TargetMode="External"/><Relationship Id="rId41" Type="http://schemas.openxmlformats.org/officeDocument/2006/relationships/hyperlink" Target="https://editora.ifc.edu.br/2019/08/29/saude-mental/" TargetMode="External"/><Relationship Id="rId44" Type="http://schemas.openxmlformats.org/officeDocument/2006/relationships/hyperlink" Target="http://www.uesc.br/editora/livrosdigitais2016/controle_social_politica_saude.pdf" TargetMode="External"/><Relationship Id="rId43" Type="http://schemas.openxmlformats.org/officeDocument/2006/relationships/hyperlink" Target="http://www.uesc.br/editora/livrosdigitais2015/conhecendo_alzheimer.pdf" TargetMode="External"/><Relationship Id="rId46" Type="http://schemas.openxmlformats.org/officeDocument/2006/relationships/hyperlink" Target="https://www.ufcspa.edu.br/editora_log/download.php?cod=013&amp;tipo=pdf" TargetMode="External"/><Relationship Id="rId45" Type="http://schemas.openxmlformats.org/officeDocument/2006/relationships/hyperlink" Target="https://www.ufpi.br/arquivos_download/arquivos/covid-19_e_sa%C3%BAde_da_mulher20200723114337.pdf" TargetMode="External"/><Relationship Id="rId107" Type="http://schemas.openxmlformats.org/officeDocument/2006/relationships/hyperlink" Target="http://www.uvanet.br/edicoes_uva/gera_xml.php?arquivo=mudancas_curriculares" TargetMode="External"/><Relationship Id="rId106" Type="http://schemas.openxmlformats.org/officeDocument/2006/relationships/hyperlink" Target="https://editora.ifc.edu.br/2019/09/09/mudancas-ambientais-desastres-e-vulnerabilidade-social/" TargetMode="External"/><Relationship Id="rId105" Type="http://schemas.openxmlformats.org/officeDocument/2006/relationships/hyperlink" Target="http://www.editora.ufpb.br/sistema/press5/index.php/UFPB/catalog/book/147" TargetMode="External"/><Relationship Id="rId104" Type="http://schemas.openxmlformats.org/officeDocument/2006/relationships/hyperlink" Target="http://repositorio.ufes.br/bitstream/10/827/1/livro%20edufes%20Metodologia%20da%20assist%C3%AAncia%20de%20enfermagem.pdf" TargetMode="External"/><Relationship Id="rId109" Type="http://schemas.openxmlformats.org/officeDocument/2006/relationships/hyperlink" Target="http://eduepb.uepb.edu.br/download/nanobiotecnologiacancer/?wpdmdl=847&amp;" TargetMode="External"/><Relationship Id="rId108" Type="http://schemas.openxmlformats.org/officeDocument/2006/relationships/hyperlink" Target="https://www.editora.ufop.br/index.php/editora/catalog/view/103/81/260-1" TargetMode="External"/><Relationship Id="rId48" Type="http://schemas.openxmlformats.org/officeDocument/2006/relationships/hyperlink" Target="http://guaiaca.ufpel.edu.br/bitstream/prefix/4442/3/Desigualdades_em_sa%C3%BAde_materno-infantil_no_Brasil%20-%20vers%C3%A3o%20corrigida.pdf" TargetMode="External"/><Relationship Id="rId47" Type="http://schemas.openxmlformats.org/officeDocument/2006/relationships/hyperlink" Target="http://omp.ufgd.edu.br/omp/index.php/livrosabertos/catalog/view/70/74/254-1" TargetMode="External"/><Relationship Id="rId49" Type="http://schemas.openxmlformats.org/officeDocument/2006/relationships/hyperlink" Target="http://hdl.handle.net/10183/199823" TargetMode="External"/><Relationship Id="rId103" Type="http://schemas.openxmlformats.org/officeDocument/2006/relationships/hyperlink" Target="https://www.dropbox.com/s/x9o3weh9y5gfbbt/medicamentos.pdf" TargetMode="External"/><Relationship Id="rId102" Type="http://schemas.openxmlformats.org/officeDocument/2006/relationships/hyperlink" Target="http://www2.ufjf.br/editora/wp-content/uploads/sites/113/2018/02/manual_do_estudante_do_curso_de_medicina_ufjf.pdf" TargetMode="External"/><Relationship Id="rId101" Type="http://schemas.openxmlformats.org/officeDocument/2006/relationships/hyperlink" Target="https://paginas.uepa.br/eduepa/wp-content/uploads/2019/06/MANUAL-DE-SEMIOLOGIA-MEDICA.pdf" TargetMode="External"/><Relationship Id="rId100" Type="http://schemas.openxmlformats.org/officeDocument/2006/relationships/hyperlink" Target="https://www.ufcspa.edu.br/editora_log/download.php?cod=002&amp;tipo=pdf" TargetMode="External"/><Relationship Id="rId31" Type="http://schemas.openxmlformats.org/officeDocument/2006/relationships/hyperlink" Target="http://repositorio.ufes.br/handle/10/824" TargetMode="External"/><Relationship Id="rId30" Type="http://schemas.openxmlformats.org/officeDocument/2006/relationships/hyperlink" Target="http://repositorio.ufba.br/ri/handle/ri/30950" TargetMode="External"/><Relationship Id="rId33" Type="http://schemas.openxmlformats.org/officeDocument/2006/relationships/hyperlink" Target="https://www.ufcspa.edu.br/editora_log/download.php?cod=003&amp;tipo=pdf" TargetMode="External"/><Relationship Id="rId32" Type="http://schemas.openxmlformats.org/officeDocument/2006/relationships/hyperlink" Target="http://www.uems.br/assets/uploads/editora/arquivos/3_2016-09-29_16-52-43.pdf" TargetMode="External"/><Relationship Id="rId35" Type="http://schemas.openxmlformats.org/officeDocument/2006/relationships/hyperlink" Target="http://cdn.ueg.edu.br/source/editora_ueg/conteudo_compartilhado/11005/ebook_chagas_malaria_amarelao.pdf" TargetMode="External"/><Relationship Id="rId34" Type="http://schemas.openxmlformats.org/officeDocument/2006/relationships/hyperlink" Target="https://editora.ifc.edu.br/2019/08/07/cartilha-informativa-de-plantas-medicinais-do-medio-vale-do-itajai/" TargetMode="External"/><Relationship Id="rId37" Type="http://schemas.openxmlformats.org/officeDocument/2006/relationships/hyperlink" Target="http://cdn.ueg.edu.br/source/editora_ueg/conteudo_compartilhado/10784/ebook_ciencias_da_saude/ebook_ciencias_da_saude_2019.pdf" TargetMode="External"/><Relationship Id="rId36" Type="http://schemas.openxmlformats.org/officeDocument/2006/relationships/hyperlink" Target="https://www2.unifap.br/editora/files/2014/12/Livro-CSa%c3%bade-finalizado.pdf" TargetMode="External"/><Relationship Id="rId39" Type="http://schemas.openxmlformats.org/officeDocument/2006/relationships/hyperlink" Target="http://www2.ufac.br/editora/livros/comer-bem-com-o-que-se-tem.pdf" TargetMode="External"/><Relationship Id="rId38" Type="http://schemas.openxmlformats.org/officeDocument/2006/relationships/hyperlink" Target="http://editora.metodista.br/livros-gratis/cientificidadeedissertacoesfinal.pdf/at_download/file" TargetMode="External"/><Relationship Id="rId20" Type="http://schemas.openxmlformats.org/officeDocument/2006/relationships/hyperlink" Target="http://omp.ufgd.edu.br/omp/index.php/livrosabertos/catalog/view/217/135/514-1" TargetMode="External"/><Relationship Id="rId22" Type="http://schemas.openxmlformats.org/officeDocument/2006/relationships/hyperlink" Target="https://repositorio.ufsc.br/handle/123456789/187549" TargetMode="External"/><Relationship Id="rId21" Type="http://schemas.openxmlformats.org/officeDocument/2006/relationships/hyperlink" Target="https://www.dropbox.com/s/00fp1j1qok0y3ah/Excrementos.pdf?dl=0" TargetMode="External"/><Relationship Id="rId24" Type="http://schemas.openxmlformats.org/officeDocument/2006/relationships/hyperlink" Target="https://repositorio.ufsc.br/handle/123456789/187551" TargetMode="External"/><Relationship Id="rId23" Type="http://schemas.openxmlformats.org/officeDocument/2006/relationships/hyperlink" Target="https://repositorio.ufsc.br/handle/123456789/187550" TargetMode="External"/><Relationship Id="rId129" Type="http://schemas.openxmlformats.org/officeDocument/2006/relationships/hyperlink" Target="https://portal-archipelagus.azurewebsites.net/farol/eduepg/ebook/programa-de-residencia-multiprofissional-em-saude-do-idoso-experiencias-e-reflexoes/1220554/" TargetMode="External"/><Relationship Id="rId128" Type="http://schemas.openxmlformats.org/officeDocument/2006/relationships/hyperlink" Target="http://www2.ufjf.br/editora/wp-content/uploads/sites/113/2018/02/Cartilha.pdf" TargetMode="External"/><Relationship Id="rId127" Type="http://schemas.openxmlformats.org/officeDocument/2006/relationships/hyperlink" Target="https://www.ufcspa.edu.br/editora_log/download.php?cod=007&amp;tipo=pdf" TargetMode="External"/><Relationship Id="rId126" Type="http://schemas.openxmlformats.org/officeDocument/2006/relationships/hyperlink" Target="https://editora.ifc.edu.br/2019/08/12/praticas-complementares-e-alternatividades-em-saude/" TargetMode="External"/><Relationship Id="rId26" Type="http://schemas.openxmlformats.org/officeDocument/2006/relationships/hyperlink" Target="https://repositorio.ufsc.br/handle/123456789/187553" TargetMode="External"/><Relationship Id="rId121" Type="http://schemas.openxmlformats.org/officeDocument/2006/relationships/hyperlink" Target="https://paginas.uepa.br/eduepa/wp-content/uploads/2020/02/PESQUISA-EM-SAUDE-2019.pdf" TargetMode="External"/><Relationship Id="rId25" Type="http://schemas.openxmlformats.org/officeDocument/2006/relationships/hyperlink" Target="https://repositorio.ufsc.br/handle/123456789/187552" TargetMode="External"/><Relationship Id="rId120" Type="http://schemas.openxmlformats.org/officeDocument/2006/relationships/hyperlink" Target="https://www.unoesc.edu.br/editora/livros-single/e-book-gratuito-pesquisa-em-educacaeo-fisica-dimensoes-sociais-e-psicomotor" TargetMode="External"/><Relationship Id="rId28" Type="http://schemas.openxmlformats.org/officeDocument/2006/relationships/hyperlink" Target="http://www.editora.ufpb.br/sistema/press5/index.php/UFPB/catalog/book/508" TargetMode="External"/><Relationship Id="rId27" Type="http://schemas.openxmlformats.org/officeDocument/2006/relationships/hyperlink" Target="https://www.repository.ufrpe.br/handle/123456789/2332" TargetMode="External"/><Relationship Id="rId125" Type="http://schemas.openxmlformats.org/officeDocument/2006/relationships/hyperlink" Target="https://livros.unb.br/index.php/portal/catalog/view/14/13/63-1" TargetMode="External"/><Relationship Id="rId29" Type="http://schemas.openxmlformats.org/officeDocument/2006/relationships/hyperlink" Target="http://www.uesc.br/editora/livrosdigitais2/auditoria_em_enfermagem.pdf" TargetMode="External"/><Relationship Id="rId124" Type="http://schemas.openxmlformats.org/officeDocument/2006/relationships/hyperlink" Target="http://eduepb.uepb.edu.br/download/plantas-medicinais-e-hortalicas/?wpdmdl=212&amp;amp;masterkey=5af9a0024423e" TargetMode="External"/><Relationship Id="rId123" Type="http://schemas.openxmlformats.org/officeDocument/2006/relationships/hyperlink" Target="http://www.eduff.uff.br/ebooks/Plantas-medicinais-antidiabeticas.pdf" TargetMode="External"/><Relationship Id="rId122" Type="http://schemas.openxmlformats.org/officeDocument/2006/relationships/hyperlink" Target="http://www.uesc.br/editora/livrosdigitais2016/planejamento_em_enfermagem.pdf" TargetMode="External"/><Relationship Id="rId95" Type="http://schemas.openxmlformats.org/officeDocument/2006/relationships/hyperlink" Target="https://paginas.uepa.br/eduepa/wp-content/uploads/2019/06/MANUAL-DE-ONCOLOGIA-23-10-2018.pdf" TargetMode="External"/><Relationship Id="rId94" Type="http://schemas.openxmlformats.org/officeDocument/2006/relationships/hyperlink" Target="http://www2.ufjf.br/editora/wp-content/uploads/sites/113/2018/02/mae_e_filho.pdf" TargetMode="External"/><Relationship Id="rId97" Type="http://schemas.openxmlformats.org/officeDocument/2006/relationships/hyperlink" Target="https://paginas.uepa.br/eduepa/wp-content/uploads/2019/06/MANUAL-DE-GINECOLOGIA-E-OBSTETR%C3%8DCIA.pdf" TargetMode="External"/><Relationship Id="rId96" Type="http://schemas.openxmlformats.org/officeDocument/2006/relationships/hyperlink" Target="https://paginas.uepa.br/eduepa/wp-content/uploads/2020/07/MANUAL-DE-HABILIDADES-PEDIATRIA-1-ED.pdf" TargetMode="External"/><Relationship Id="rId11" Type="http://schemas.openxmlformats.org/officeDocument/2006/relationships/hyperlink" Target="https://editora.ifc.edu.br/2019/09/04/abordagens-geografica-da-vigilancia-prevencao-e-promocao-da-saude-2/" TargetMode="External"/><Relationship Id="rId99" Type="http://schemas.openxmlformats.org/officeDocument/2006/relationships/hyperlink" Target="https://www.ufpi.br/arquivos_download/arquivos/EBOOK_-_MANUAL_DE_LIBRAS_PARA_CIENCIA-_A_C%C3%ABLULA_E_O_CORPO_HUMANO20200727155142.pdf" TargetMode="External"/><Relationship Id="rId10" Type="http://schemas.openxmlformats.org/officeDocument/2006/relationships/hyperlink" Target="https://paginas.uepa.br/eduepa/wp-content/uploads/2019/12/pratica_humanizada_enfermagem.pdf" TargetMode="External"/><Relationship Id="rId98" Type="http://schemas.openxmlformats.org/officeDocument/2006/relationships/hyperlink" Target="https://paginas.uepa.br/eduepa/wp-content/uploads/2019/06/MANUAL-DE-NEONATOLOGIA.pdf" TargetMode="External"/><Relationship Id="rId13" Type="http://schemas.openxmlformats.org/officeDocument/2006/relationships/hyperlink" Target="http://www.uesc.br/editora/livrosdigitais2015/alzheimer_manual_cuidador.pdf" TargetMode="External"/><Relationship Id="rId12" Type="http://schemas.openxmlformats.org/officeDocument/2006/relationships/hyperlink" Target="http://www.uesc.br/editora/livrosdigitais2015/alimentacao_problemas_e_solucoes.pdf" TargetMode="External"/><Relationship Id="rId91" Type="http://schemas.openxmlformats.org/officeDocument/2006/relationships/hyperlink" Target="https://www.eduerj.com/eng/?product=hupe-serie-rotinas-hospitalares-obstetricia-2a-edicao" TargetMode="External"/><Relationship Id="rId90" Type="http://schemas.openxmlformats.org/officeDocument/2006/relationships/hyperlink" Target="https://www.eduerj.com/eng/?product=hupe-serie-rotinas-hospitalares-neurologia-volume-viii" TargetMode="External"/><Relationship Id="rId93" Type="http://schemas.openxmlformats.org/officeDocument/2006/relationships/hyperlink" Target="http://www.uesc.br/editora/livrosdigitais2020/juntos-contra-o-corona.pdf" TargetMode="External"/><Relationship Id="rId92" Type="http://schemas.openxmlformats.org/officeDocument/2006/relationships/hyperlink" Target="https://www.unoesc.edu.br/images/uploads/editora/Jornada_Catarinense_de_Geriatria_e_Gerontologia_2019.pdf" TargetMode="External"/><Relationship Id="rId118" Type="http://schemas.openxmlformats.org/officeDocument/2006/relationships/hyperlink" Target="http://www.editora.ufrj.br/DynamicItems/livrosabertos-1/CorposHospital_compressed.pdf" TargetMode="External"/><Relationship Id="rId117" Type="http://schemas.openxmlformats.org/officeDocument/2006/relationships/hyperlink" Target="http://www.editora.ufpb.br/sistema/press5/index.php/UFPB/catalog/book/350" TargetMode="External"/><Relationship Id="rId116" Type="http://schemas.openxmlformats.org/officeDocument/2006/relationships/hyperlink" Target="https://www.eduerj.com/eng/?product=o-programa-mais-medicos-nos-estados-do-rio-de-janeiro-e-do-espirito-santo-significados-resultados-e-sustentabilidade" TargetMode="External"/><Relationship Id="rId115" Type="http://schemas.openxmlformats.org/officeDocument/2006/relationships/hyperlink" Target="https://www.unoesc.edu.br/images/uploads/editora/praticas_educativas_e_de_investigacao_na_escola.pdf" TargetMode="External"/><Relationship Id="rId119" Type="http://schemas.openxmlformats.org/officeDocument/2006/relationships/hyperlink" Target="http://www2.ufac.br/editora/livros/PARTEIRAS.pdf" TargetMode="External"/><Relationship Id="rId15" Type="http://schemas.openxmlformats.org/officeDocument/2006/relationships/hyperlink" Target="http://repositorio.ufes.br/bitstream/10/1030/1/Livro%20edufes%20Analise%20da%20Politica%20de%20Saude%20Brasileira.pdf" TargetMode="External"/><Relationship Id="rId110" Type="http://schemas.openxmlformats.org/officeDocument/2006/relationships/hyperlink" Target="https://editora.ifc.edu.br/2019/01/02/novos-temas-para-se-pensar-a-geografia-da-saude/" TargetMode="External"/><Relationship Id="rId14" Type="http://schemas.openxmlformats.org/officeDocument/2006/relationships/hyperlink" Target="https://editora.ifc.edu.br/2018/10/16/anais-do-seminario-estadual-de-geografia-da-saude-2018/" TargetMode="External"/><Relationship Id="rId17" Type="http://schemas.openxmlformats.org/officeDocument/2006/relationships/hyperlink" Target="http://www.eduff.uff.br/ebooks/As-razoes-da-terapeutica.pdf" TargetMode="External"/><Relationship Id="rId16" Type="http://schemas.openxmlformats.org/officeDocument/2006/relationships/hyperlink" Target="http://dx.doi.org/10.18616/avs" TargetMode="External"/><Relationship Id="rId19" Type="http://schemas.openxmlformats.org/officeDocument/2006/relationships/hyperlink" Target="http://omp.ufgd.edu.br/omp/index.php/livrosabertos/catalog/view/216/136/416-1" TargetMode="External"/><Relationship Id="rId114" Type="http://schemas.openxmlformats.org/officeDocument/2006/relationships/hyperlink" Target="http://www.editora.ufrj.br/DynamicItems/livrosabertos-1/ParentescoImaginario_compressed.pdf" TargetMode="External"/><Relationship Id="rId18" Type="http://schemas.openxmlformats.org/officeDocument/2006/relationships/hyperlink" Target="https://www.unoesc.edu.br/images/uploads/editora/Aspectos_Biopsicossociais_do_envelhecimento.pdf" TargetMode="External"/><Relationship Id="rId113" Type="http://schemas.openxmlformats.org/officeDocument/2006/relationships/hyperlink" Target="http://www.uesc.br/editora/livrosdigitais2015/o_outro_entre_a_cura_e_o_cuidado.pdf" TargetMode="External"/><Relationship Id="rId112" Type="http://schemas.openxmlformats.org/officeDocument/2006/relationships/hyperlink" Target="http://www.uems.br/assets/uploads/editora/arquivos/4_2016-09-29_16-52-43.pdf" TargetMode="External"/><Relationship Id="rId111" Type="http://schemas.openxmlformats.org/officeDocument/2006/relationships/hyperlink" Target="http://www.editora.ufpb.br/sistema/press5/index.php/UFPB/catalog/book/203" TargetMode="External"/><Relationship Id="rId84" Type="http://schemas.openxmlformats.org/officeDocument/2006/relationships/hyperlink" Target="https://www.eduerj.com/eng/?product=hupe-serie-rotinas-hospitalares-vol-iii-oncologia" TargetMode="External"/><Relationship Id="rId83" Type="http://schemas.openxmlformats.org/officeDocument/2006/relationships/hyperlink" Target="https://www.eduerj.com/eng/?product=hupe-serie-rotinas-hospitalares-vol-ii-procedimentos-de-enfermagem" TargetMode="External"/><Relationship Id="rId86" Type="http://schemas.openxmlformats.org/officeDocument/2006/relationships/hyperlink" Target="https://www.eduerj.com/eng/?product=hupe-serie-rotinas-hospitalares-vol-iv-pediatria" TargetMode="External"/><Relationship Id="rId85" Type="http://schemas.openxmlformats.org/officeDocument/2006/relationships/hyperlink" Target="https://www.eduerj.com/eng/?product=hupe-serie-rotinas-hospitalares-vol-iv-pediatria-parte-2" TargetMode="External"/><Relationship Id="rId88" Type="http://schemas.openxmlformats.org/officeDocument/2006/relationships/hyperlink" Target="https://www.eduerj.com/eng/?product=hupe-serie-rotinas-hospitalares-geriatria-vol-vi" TargetMode="External"/><Relationship Id="rId150" Type="http://schemas.openxmlformats.org/officeDocument/2006/relationships/hyperlink" Target="http://eduepb.uepb.edu.br/download/saude-mental-de-idosos/?wpdmdl=993&amp;" TargetMode="External"/><Relationship Id="rId87" Type="http://schemas.openxmlformats.org/officeDocument/2006/relationships/hyperlink" Target="https://www.eduerj.com/eng/?product=hupe-serie-rotinas-hospitalares-geriatria" TargetMode="External"/><Relationship Id="rId89" Type="http://schemas.openxmlformats.org/officeDocument/2006/relationships/hyperlink" Target="https://www.eduerj.com/eng/?product=hupe-serie-rotinas-hospitalares-geriatria-vol-vi-parte-2" TargetMode="External"/><Relationship Id="rId80" Type="http://schemas.openxmlformats.org/officeDocument/2006/relationships/hyperlink" Target="https://hdl.handle.net/1884/63936" TargetMode="External"/><Relationship Id="rId82" Type="http://schemas.openxmlformats.org/officeDocument/2006/relationships/hyperlink" Target="http://www2.ufac.br/editora/livros/homeopatia-e-saude-do-reducionismo-ao-sistemico.pdf" TargetMode="External"/><Relationship Id="rId81" Type="http://schemas.openxmlformats.org/officeDocument/2006/relationships/hyperlink" Target="https://hdl.handle.net/1884/63937" TargetMode="External"/><Relationship Id="rId1" Type="http://schemas.openxmlformats.org/officeDocument/2006/relationships/hyperlink" Target="http://www.uvanet.br/edicoes_uva/gera_xml.php?arquivo=transf_residencias" TargetMode="External"/><Relationship Id="rId2" Type="http://schemas.openxmlformats.org/officeDocument/2006/relationships/hyperlink" Target="http://omp.ufgd.edu.br/omp/index.php/livrosabertos/catalog/view/327/258/2468-22" TargetMode="External"/><Relationship Id="rId3" Type="http://schemas.openxmlformats.org/officeDocument/2006/relationships/hyperlink" Target="https://www.unoesc.edu.br/images/uploads/editora/E-book_-_20_anos_Fisioterapia.pdf" TargetMode="External"/><Relationship Id="rId149" Type="http://schemas.openxmlformats.org/officeDocument/2006/relationships/hyperlink" Target="http://www.uvanet.br/edicoes_uva/gera_xml.php?arquivo=saude_espaco_social_final" TargetMode="External"/><Relationship Id="rId4" Type="http://schemas.openxmlformats.org/officeDocument/2006/relationships/hyperlink" Target="https://editora.ifc.edu.br/2019/10/08/a-cartografia-na-geografia-da-saude-metodologias-e-tecnicas/" TargetMode="External"/><Relationship Id="rId148" Type="http://schemas.openxmlformats.org/officeDocument/2006/relationships/hyperlink" Target="https://editora.ifc.edu.br/2019/11/25/saude-coletiva-dialogando-sobre-interfaces-tematicas/" TargetMode="External"/><Relationship Id="rId9" Type="http://schemas.openxmlformats.org/officeDocument/2006/relationships/hyperlink" Target="http://www2.ufjf.br/editora/wp-content/uploads/sites/113/2018/02/a_pratica_diaria_na_estrategia_saude_da_familia.pdf" TargetMode="External"/><Relationship Id="rId143" Type="http://schemas.openxmlformats.org/officeDocument/2006/relationships/hyperlink" Target="http://eduepb.uepb.edu.br/download/responsabilidade-civil-das-academias-de-ginastica-por-atos-do-personal-trainer/?wpdmdl=437&amp;amp;masterkey=5b59e8c433c04" TargetMode="External"/><Relationship Id="rId142" Type="http://schemas.openxmlformats.org/officeDocument/2006/relationships/hyperlink" Target="http://repositorio.ufba.br/ri/handle/ri/17157" TargetMode="External"/><Relationship Id="rId141" Type="http://schemas.openxmlformats.org/officeDocument/2006/relationships/hyperlink" Target="http://repositorio.ufba.br/ri/handle/ri/21612" TargetMode="External"/><Relationship Id="rId140" Type="http://schemas.openxmlformats.org/officeDocument/2006/relationships/hyperlink" Target="https://editora.ifc.edu.br/2019/09/20/regionalizacao-e-gestao-dos-servicos-de-saude/" TargetMode="External"/><Relationship Id="rId5" Type="http://schemas.openxmlformats.org/officeDocument/2006/relationships/hyperlink" Target="https://livros.unb.br/index.php/portal/catalog/view/9/8/39-1" TargetMode="External"/><Relationship Id="rId147" Type="http://schemas.openxmlformats.org/officeDocument/2006/relationships/hyperlink" Target="http://www.uesc.br/editora/livrosdigitais2015/saude_coletiva.pdf" TargetMode="External"/><Relationship Id="rId6" Type="http://schemas.openxmlformats.org/officeDocument/2006/relationships/hyperlink" Target="https://drive.google.com/file/d/1iQ5wf8Dh5b6jCCN5oFYOkrIPaouNESxo/view?usp=sharing" TargetMode="External"/><Relationship Id="rId146" Type="http://schemas.openxmlformats.org/officeDocument/2006/relationships/hyperlink" Target="http://repositorio.ufes.br/handle/10/855" TargetMode="External"/><Relationship Id="rId7" Type="http://schemas.openxmlformats.org/officeDocument/2006/relationships/hyperlink" Target="http://www.editora.ufrj.br/DynamicItems/livrosabertos-1/AFaceOcultaDaNutricao_compressed.pdf" TargetMode="External"/><Relationship Id="rId145" Type="http://schemas.openxmlformats.org/officeDocument/2006/relationships/hyperlink" Target="http://hdl.handle.net/10183/183081" TargetMode="External"/><Relationship Id="rId8" Type="http://schemas.openxmlformats.org/officeDocument/2006/relationships/hyperlink" Target="https://www.ufpi.br/arquivos_download/arquivos/EDUFPI/A_POL%C3%8DTICA_DE_SA%C3%9ADE_MENTAL_NO_PIAU%C3%8D_SOB_A_%C3%89GIDE_DA_RAPS.pdf" TargetMode="External"/><Relationship Id="rId144" Type="http://schemas.openxmlformats.org/officeDocument/2006/relationships/hyperlink" Target="https://editora.ifc.edu.br/2019/12/13/salud-cuerpo-y-sociedad/" TargetMode="External"/><Relationship Id="rId73" Type="http://schemas.openxmlformats.org/officeDocument/2006/relationships/hyperlink" Target="http://omp.ufgd.edu.br/omp/index.php/livrosabertos/catalog/view/329/260/2481-1" TargetMode="External"/><Relationship Id="rId72" Type="http://schemas.openxmlformats.org/officeDocument/2006/relationships/hyperlink" Target="https://www.ufcspa.edu.br/editora_log/download.php?cod=011&amp;tipo=pdf" TargetMode="External"/><Relationship Id="rId75" Type="http://schemas.openxmlformats.org/officeDocument/2006/relationships/hyperlink" Target="http://repositorio.unesc.net/handle/1/4283" TargetMode="External"/><Relationship Id="rId74" Type="http://schemas.openxmlformats.org/officeDocument/2006/relationships/hyperlink" Target="https://repositorio.ufsc.br/handle/123456789/187614" TargetMode="External"/><Relationship Id="rId77" Type="http://schemas.openxmlformats.org/officeDocument/2006/relationships/hyperlink" Target="https://www.ufcspa.edu.br/editora_log/download.php?cod=010&amp;tipo=pdf" TargetMode="External"/><Relationship Id="rId76" Type="http://schemas.openxmlformats.org/officeDocument/2006/relationships/hyperlink" Target="http://www.editora.ufpb.br/sistema/press5/index.php/UFPB/catalog/book/230" TargetMode="External"/><Relationship Id="rId79" Type="http://schemas.openxmlformats.org/officeDocument/2006/relationships/hyperlink" Target="http://editora.metodista.br/livros-gratis/futebol1-11-2016.pdf/at_download/file" TargetMode="External"/><Relationship Id="rId78" Type="http://schemas.openxmlformats.org/officeDocument/2006/relationships/hyperlink" Target="http://dx.doi.org/10.18616/hema" TargetMode="External"/><Relationship Id="rId71" Type="http://schemas.openxmlformats.org/officeDocument/2006/relationships/hyperlink" Target="http://omp.ufgd.edu.br/omp/index.php/livrosabertos/catalog/view/330/261/2483-1" TargetMode="External"/><Relationship Id="rId70" Type="http://schemas.openxmlformats.org/officeDocument/2006/relationships/hyperlink" Target="https://editora.ifc.edu.br/2019/08/09/formacao-profissional-para-atencao-basica-e-conhecimento-geografico/" TargetMode="External"/><Relationship Id="rId139" Type="http://schemas.openxmlformats.org/officeDocument/2006/relationships/hyperlink" Target="http://www.uvanet.br/edicoes_uva/gera_xml.php?arquivo=reflexoes_em_nutricao_saude" TargetMode="External"/><Relationship Id="rId138" Type="http://schemas.openxmlformats.org/officeDocument/2006/relationships/hyperlink" Target="http://www2.ufjf.br/editora/wp-content/uploads/sites/113/2018/02/reduzindo_o_estigma_entre_usuarios_de_drogas.pdf" TargetMode="External"/><Relationship Id="rId137" Type="http://schemas.openxmlformats.org/officeDocument/2006/relationships/hyperlink" Target="https://paginas.uepa.br/eduepa/wp-content/uploads/2019/06/radiologialivro.pdf" TargetMode="External"/><Relationship Id="rId132" Type="http://schemas.openxmlformats.org/officeDocument/2006/relationships/hyperlink" Target="https://www.ufpi.br/arquivos_download/arquivos/OFICIAL_PROTOCOLO_Pre_Hospitalar_MEDICOS_PELA_VIDA_COM_FICHA_UFPI20200710150010.pdf" TargetMode="External"/><Relationship Id="rId131" Type="http://schemas.openxmlformats.org/officeDocument/2006/relationships/hyperlink" Target="https://www2.unifap.br/editora/files/2019/02/Promocao-da-saude-no-contexto-fronteirico.pdf" TargetMode="External"/><Relationship Id="rId130" Type="http://schemas.openxmlformats.org/officeDocument/2006/relationships/hyperlink" Target="http://www.uvanet.br/edicoes_uva/gera_xml.php?arquivo=promocao_saude_embientes" TargetMode="External"/><Relationship Id="rId136" Type="http://schemas.openxmlformats.org/officeDocument/2006/relationships/hyperlink" Target="http://ufrr.br/editora/index.php/editais?download=414" TargetMode="External"/><Relationship Id="rId135" Type="http://schemas.openxmlformats.org/officeDocument/2006/relationships/hyperlink" Target="http://omp.ufgd.edu.br/omp/index.php/livrosabertos/catalog/view/175/171/451-1" TargetMode="External"/><Relationship Id="rId134" Type="http://schemas.openxmlformats.org/officeDocument/2006/relationships/hyperlink" Target="https://www.ufpi.br/arquivos_download/arquivos/PROTOCOLO_PARA_ATENDIMENTO_DA_COVID_Diagramado_paginado_justificadoNovo_PDF20200706211125.pdf" TargetMode="External"/><Relationship Id="rId133" Type="http://schemas.openxmlformats.org/officeDocument/2006/relationships/hyperlink" Target="https://portal-archipelagus.azurewebsites.net/farol/eduepg/ebook/protocolo-de-utilizacao-de-medicamentos-injetaveis-do-hurcg/1205258/" TargetMode="External"/><Relationship Id="rId62" Type="http://schemas.openxmlformats.org/officeDocument/2006/relationships/hyperlink" Target="http://editora.metodista.br/livros-gratis/EPIGENETICA%20APLICADA%20A%20SAUDE%20E%20A%20DOENCA.pdf/at_download/file" TargetMode="External"/><Relationship Id="rId61" Type="http://schemas.openxmlformats.org/officeDocument/2006/relationships/hyperlink" Target="https://www.dropbox.com/s/rf0yhu37ccpfjkb/Olhar.pdf" TargetMode="External"/><Relationship Id="rId64" Type="http://schemas.openxmlformats.org/officeDocument/2006/relationships/hyperlink" Target="https://www.eduerj.com/eng/?product=estudos-socioculturais-em-alimentacao-e-saude-saberes-em-rede" TargetMode="External"/><Relationship Id="rId63" Type="http://schemas.openxmlformats.org/officeDocument/2006/relationships/hyperlink" Target="https://www.dropbox.com/s/8pgc8lcytuj3sk6/espinhela.pdf" TargetMode="External"/><Relationship Id="rId66" Type="http://schemas.openxmlformats.org/officeDocument/2006/relationships/hyperlink" Target="http://www2.ufjf.br/editora/wp-content/uploads/sites/113/2018/02/eu_controlo_meu_diabetes_guia_adulto.pdf" TargetMode="External"/><Relationship Id="rId65" Type="http://schemas.openxmlformats.org/officeDocument/2006/relationships/hyperlink" Target="https://static.scielo.org/scielobooks/37nz2/pdf/prado-9788575114568.pdf" TargetMode="External"/><Relationship Id="rId68" Type="http://schemas.openxmlformats.org/officeDocument/2006/relationships/hyperlink" Target="http://repositorio.ufes.br/bitstream/10/6771/8/Forma%C3%A7%C3%A3o%20em%20Sa%C3%BAde.pdf" TargetMode="External"/><Relationship Id="rId67" Type="http://schemas.openxmlformats.org/officeDocument/2006/relationships/hyperlink" Target="http://repositorio.unesc.net/handle/1/1628" TargetMode="External"/><Relationship Id="rId60" Type="http://schemas.openxmlformats.org/officeDocument/2006/relationships/hyperlink" Target="https://www.unoesc.edu.br/images/uploads/editora/Enfermagem_Unoesc_Joacaba_trabalhos_de.pdf" TargetMode="External"/><Relationship Id="rId69" Type="http://schemas.openxmlformats.org/officeDocument/2006/relationships/hyperlink" Target="http://www2.ufjf.br/editora/wp-content/uploads/sites/113/2018/02/formacao_pedagogica_de_preceptores_do_ensino_em_saude.pdf" TargetMode="External"/><Relationship Id="rId164" Type="http://schemas.openxmlformats.org/officeDocument/2006/relationships/drawing" Target="../drawings/drawing4.xml"/><Relationship Id="rId163" Type="http://schemas.openxmlformats.org/officeDocument/2006/relationships/hyperlink" Target="http://repositorio.unesc.net/handle/1/2769" TargetMode="External"/><Relationship Id="rId162" Type="http://schemas.openxmlformats.org/officeDocument/2006/relationships/hyperlink" Target="http://repositorio.unesc.net/handle/1/2768" TargetMode="External"/><Relationship Id="rId166" Type="http://schemas.openxmlformats.org/officeDocument/2006/relationships/table" Target="../tables/table3.xml"/><Relationship Id="rId51" Type="http://schemas.openxmlformats.org/officeDocument/2006/relationships/hyperlink" Target="https://www.ufcspa.edu.br/editora_log/download.php?cod=006&amp;tipo=pdf" TargetMode="External"/><Relationship Id="rId50" Type="http://schemas.openxmlformats.org/officeDocument/2006/relationships/hyperlink" Target="https://www.editora.ufop.br/index.php/editora/catalog/view/151/120/395-1" TargetMode="External"/><Relationship Id="rId53" Type="http://schemas.openxmlformats.org/officeDocument/2006/relationships/hyperlink" Target="http://repositorio.ufes.br/bitstream/10/787/1/livro%20edufes%20educa%C3%A7%C3%A3o%20f%C3%ADsica%20e%20os%20desafios%20da%20inclus%C3%A3o.pdf" TargetMode="External"/><Relationship Id="rId52" Type="http://schemas.openxmlformats.org/officeDocument/2006/relationships/hyperlink" Target="https://www.ufcspa.edu.br/editora_log/download.php?cod=009&amp;tipo=pdf" TargetMode="External"/><Relationship Id="rId55" Type="http://schemas.openxmlformats.org/officeDocument/2006/relationships/hyperlink" Target="http://omp.ufgd.edu.br/omp/index.php/livrosabertos/catalog/view/89/96/369-1" TargetMode="External"/><Relationship Id="rId161" Type="http://schemas.openxmlformats.org/officeDocument/2006/relationships/hyperlink" Target="https://www.unoesc.edu.br/images/uploads/editora/Ebook_Livro_Viv%c3%aancias__Ed._F%c3%adsica2.pdf" TargetMode="External"/><Relationship Id="rId54" Type="http://schemas.openxmlformats.org/officeDocument/2006/relationships/hyperlink" Target="http://editora.metodista.br/livros-gratis/EDUCACAOINCLUSIVA.pdf/at_download/file" TargetMode="External"/><Relationship Id="rId160" Type="http://schemas.openxmlformats.org/officeDocument/2006/relationships/hyperlink" Target="https://www.editora.ufop.br/index.php/editora/catalog/view/54/39/129-1" TargetMode="External"/><Relationship Id="rId57" Type="http://schemas.openxmlformats.org/officeDocument/2006/relationships/hyperlink" Target="http://www.uesc.br/editora/livrosdigitais2016/educacao_saude_esporte.pdf" TargetMode="External"/><Relationship Id="rId56" Type="http://schemas.openxmlformats.org/officeDocument/2006/relationships/hyperlink" Target="http://omp.ufgd.edu.br/omp/index.php/livrosabertos/catalog/view/255/251/555-1" TargetMode="External"/><Relationship Id="rId159" Type="http://schemas.openxmlformats.org/officeDocument/2006/relationships/hyperlink" Target="http://repositorio.ufba.br/ri/handle/ri/15083" TargetMode="External"/><Relationship Id="rId59" Type="http://schemas.openxmlformats.org/officeDocument/2006/relationships/hyperlink" Target="https://paginas.uepa.br/eduepa/wp-content/uploads/2019/06/MANUAL-BASICO-GEIS.pdf" TargetMode="External"/><Relationship Id="rId154" Type="http://schemas.openxmlformats.org/officeDocument/2006/relationships/hyperlink" Target="https://www.dropbox.com/s/awjklubl1qzsssq/tangolomango.pdf?dl=0" TargetMode="External"/><Relationship Id="rId58" Type="http://schemas.openxmlformats.org/officeDocument/2006/relationships/hyperlink" Target="https://www.unoesc.edu.br/images/uploads/editora/Efetividade_do_direito_a_saude.pdf" TargetMode="External"/><Relationship Id="rId153" Type="http://schemas.openxmlformats.org/officeDocument/2006/relationships/hyperlink" Target="http://www.uvanet.br/edicoes_uva/gera_xml.php?arquivo=sociopolitica_saude" TargetMode="External"/><Relationship Id="rId152" Type="http://schemas.openxmlformats.org/officeDocument/2006/relationships/hyperlink" Target="http://eduepb.uepb.edu.br/download/saude-mental-saberes-e-fazeres/?wpdmdl=209&amp;amp;masterkey=5af9a15168572" TargetMode="External"/><Relationship Id="rId151" Type="http://schemas.openxmlformats.org/officeDocument/2006/relationships/hyperlink" Target="http://www2.ufac.br/editora/livros/saude-mental.pdf" TargetMode="External"/><Relationship Id="rId158" Type="http://schemas.openxmlformats.org/officeDocument/2006/relationships/hyperlink" Target="http://omp.ufgd.edu.br/omp/index.php/livrosabertos/catalog/view/234/106/382-1" TargetMode="External"/><Relationship Id="rId157" Type="http://schemas.openxmlformats.org/officeDocument/2006/relationships/hyperlink" Target="http://cdn.ueg.edu.br/source/editora_ueg/conteudo_compartilhado/11014/Todo_dia_e_dia_de_ciencia_livro_3_corpo_humano_e_saude.pdf" TargetMode="External"/><Relationship Id="rId156" Type="http://schemas.openxmlformats.org/officeDocument/2006/relationships/hyperlink" Target="http://www.editora.ufpb.br/sistema/press5/index.php/UFPB/catalog/book/123" TargetMode="External"/><Relationship Id="rId155" Type="http://schemas.openxmlformats.org/officeDocument/2006/relationships/hyperlink" Target="http://eduepb.uepb.edu.br/download/tem-alguma-pessoa-com-deficiencia-na-sua-familia/?wpdmdl=211&amp;amp;masterkey=5af9a1f9acdc5"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editora.ifpb.edu.br/index.php/ifpb/catalog/book/7" TargetMode="External"/><Relationship Id="rId42" Type="http://schemas.openxmlformats.org/officeDocument/2006/relationships/hyperlink" Target="http://eduepb.uepb.edu.br/download/intoduction-to-exact-control-theory-method-hum/?wpdmdl=190&amp;amp;masterkey=5af99b95000a3" TargetMode="External"/><Relationship Id="rId41" Type="http://schemas.openxmlformats.org/officeDocument/2006/relationships/hyperlink" Target="https://paginas.uepa.br/eduepa/wp-content/uploads/2019/06/INTERFACES-EM-QUIMICA.pdf" TargetMode="External"/><Relationship Id="rId44" Type="http://schemas.openxmlformats.org/officeDocument/2006/relationships/hyperlink" Target="https://editora.ifc.edu.br/2018/12/14/introducao-a-analise-real-teoremas-e-algumas-aplicacoes/" TargetMode="External"/><Relationship Id="rId43" Type="http://schemas.openxmlformats.org/officeDocument/2006/relationships/hyperlink" Target="http://eduepb.uepb.edu.br/download/introducao-a-analise-de-agrupamento-teoria-e-pratica-com-aplicacoes-em-r/?wpdmdl=997&amp;" TargetMode="External"/><Relationship Id="rId46" Type="http://schemas.openxmlformats.org/officeDocument/2006/relationships/hyperlink" Target="https://www.editora.ufop.br/index.php/editora/catalog/view/134/107/351-1" TargetMode="External"/><Relationship Id="rId45" Type="http://schemas.openxmlformats.org/officeDocument/2006/relationships/hyperlink" Target="http://guaiaca.ufpel.edu.br/bitstream/prefix/4295/3/Introdu%c3%a7%c3%a3o%20ao%20estudo%20da%20topografia.pdf" TargetMode="External"/><Relationship Id="rId48" Type="http://schemas.openxmlformats.org/officeDocument/2006/relationships/hyperlink" Target="https://www.eduerj.com/eng/?product=james-clerk-maxwell-textos-selecionados-ebook" TargetMode="External"/><Relationship Id="rId47" Type="http://schemas.openxmlformats.org/officeDocument/2006/relationships/hyperlink" Target="http://eduepb.uepb.edu.br/download/itinerarios-de-pesquisas-em-ensino-de-ciencias-e-educacao-matematica/?wpdmdl=701&amp;amp;masterkey=5cc6e5fa42595" TargetMode="External"/><Relationship Id="rId49" Type="http://schemas.openxmlformats.org/officeDocument/2006/relationships/hyperlink" Target="http://www.eduff.uff.br/index.php/livros/64-javascript-para-construcao-de-paginas-web" TargetMode="External"/><Relationship Id="rId31" Type="http://schemas.openxmlformats.org/officeDocument/2006/relationships/hyperlink" Target="http://hdl.handle.net/10183/213120" TargetMode="External"/><Relationship Id="rId30" Type="http://schemas.openxmlformats.org/officeDocument/2006/relationships/hyperlink" Target="http://editora.ifpb.edu.br/index.php/ifpb/catalog/book/88" TargetMode="External"/><Relationship Id="rId33" Type="http://schemas.openxmlformats.org/officeDocument/2006/relationships/hyperlink" Target="https://hdl.handle.net/1884/45931" TargetMode="External"/><Relationship Id="rId32" Type="http://schemas.openxmlformats.org/officeDocument/2006/relationships/hyperlink" Target="http://campomourao.unespar.edu.br/editora/obras-digitais/formacao-de-conceitos-matematicos-propostas-de-ensino-aos-anos-iniciais-e-finais-do-ensino-fundamental" TargetMode="External"/><Relationship Id="rId35" Type="http://schemas.openxmlformats.org/officeDocument/2006/relationships/hyperlink" Target="https://www.eduerj.com/eng/?product=fundamentos-de-estratigrafia-moderna" TargetMode="External"/><Relationship Id="rId34" Type="http://schemas.openxmlformats.org/officeDocument/2006/relationships/hyperlink" Target="http://www.uems.br/assets/uploads/editora/arquivos/2_2016-03-11_14-56-21.pdf" TargetMode="External"/><Relationship Id="rId37" Type="http://schemas.openxmlformats.org/officeDocument/2006/relationships/hyperlink" Target="http://editora.ifpb.edu.br/index.php/ifpb/catalog/book/80" TargetMode="External"/><Relationship Id="rId36" Type="http://schemas.openxmlformats.org/officeDocument/2006/relationships/hyperlink" Target="http://www.editora.ufc.br/catalogo/28-geografia/982-geografia-fisica-e-as-mudancas-globais" TargetMode="External"/><Relationship Id="rId39" Type="http://schemas.openxmlformats.org/officeDocument/2006/relationships/hyperlink" Target="http://www.unemat.br/reitoria/editora/downloads/eletronico/livro_historias_nas_paisagens_do_saber_das_ciencias_e_matematica_E-BOOK_3.pdf" TargetMode="External"/><Relationship Id="rId38" Type="http://schemas.openxmlformats.org/officeDocument/2006/relationships/hyperlink" Target="https://editora.ifc.edu.br/2018/11/30/historia-da-matematica-e-book-como-surgiram-alguns-conceitos-matematicos/" TargetMode="External"/><Relationship Id="rId20" Type="http://schemas.openxmlformats.org/officeDocument/2006/relationships/hyperlink" Target="http://repositorio.unesc.net/handle/1/2638" TargetMode="External"/><Relationship Id="rId22" Type="http://schemas.openxmlformats.org/officeDocument/2006/relationships/hyperlink" Target="https://www.editora.ufop.br/index.php/editora/catalog/view/38/26/89-1" TargetMode="External"/><Relationship Id="rId21" Type="http://schemas.openxmlformats.org/officeDocument/2006/relationships/hyperlink" Target="http://omp.ufgd.edu.br/omp/index.php/livrosabertos/catalog/view/81/88/334-1" TargetMode="External"/><Relationship Id="rId24" Type="http://schemas.openxmlformats.org/officeDocument/2006/relationships/hyperlink" Target="https://www.editora.ufop.br/index.php/editora/catalog/view/147/117/384-1" TargetMode="External"/><Relationship Id="rId23" Type="http://schemas.openxmlformats.org/officeDocument/2006/relationships/hyperlink" Target="https://www.editora.ufop.br/index.php/editora/catalog/view/49/34/114-1" TargetMode="External"/><Relationship Id="rId26" Type="http://schemas.openxmlformats.org/officeDocument/2006/relationships/hyperlink" Target="http://editora.ifpb.edu.br/index.php/ifpb/catalog/book/8" TargetMode="External"/><Relationship Id="rId25" Type="http://schemas.openxmlformats.org/officeDocument/2006/relationships/hyperlink" Target="https://www.ufpi.br/arquivos_download/arquivos/LIVRO_ENSINO_DE_F%C3%8DSICA_EBOOK20190909103253.pdf" TargetMode="External"/><Relationship Id="rId28" Type="http://schemas.openxmlformats.org/officeDocument/2006/relationships/hyperlink" Target="http://www.eduff.uff.br/ebooks/Etnomatematica.pdf" TargetMode="External"/><Relationship Id="rId27" Type="http://schemas.openxmlformats.org/officeDocument/2006/relationships/hyperlink" Target="http://eduepb.uepb.edu.br/download/estudos-dos-principais-pressupostos-de-analise-discriminante-simples-com-aplicacao-em-r/?wpdmdl=1138&amp;" TargetMode="External"/><Relationship Id="rId29" Type="http://schemas.openxmlformats.org/officeDocument/2006/relationships/hyperlink" Target="https://editora.ifc.edu.br/2017/12/21/feiras-de-matematica-percursos-reflexoes-e-compromisso-social/" TargetMode="External"/><Relationship Id="rId11" Type="http://schemas.openxmlformats.org/officeDocument/2006/relationships/hyperlink" Target="http://www2.ufac.br/editora/livros/calculo-diferencial-em-r.pdf" TargetMode="External"/><Relationship Id="rId10" Type="http://schemas.openxmlformats.org/officeDocument/2006/relationships/hyperlink" Target="https://livros.unb.br/index.php/portal/catalog/view/7/7/38-1" TargetMode="External"/><Relationship Id="rId13" Type="http://schemas.openxmlformats.org/officeDocument/2006/relationships/hyperlink" Target="http://hdl.handle.net/10183/198764" TargetMode="External"/><Relationship Id="rId12" Type="http://schemas.openxmlformats.org/officeDocument/2006/relationships/hyperlink" Target="https://repositorio.ufsc.br/handle/123456789/196139" TargetMode="External"/><Relationship Id="rId15" Type="http://schemas.openxmlformats.org/officeDocument/2006/relationships/hyperlink" Target="https://www.eduerj.com/eng/?product=ciencia-do-futuro-e-futuro-da-ciencia-redes-e-politicas-de-nanociencia-e-nanotecnologia-no-brasil-ebookhttps://www.eduerj.com/eng/?product=ciencia-do-futuro-e-futuro-da-ciencia-redes-e-politicas-de-nanociencia-e-nanotecnologia-no-brasil-ebook" TargetMode="External"/><Relationship Id="rId14" Type="http://schemas.openxmlformats.org/officeDocument/2006/relationships/hyperlink" Target="https://www.editora.ufop.br/index.php/editora/catalog/view/132/106/349-1" TargetMode="External"/><Relationship Id="rId17" Type="http://schemas.openxmlformats.org/officeDocument/2006/relationships/hyperlink" Target="https://www2.unifap.br/editora/files/2014/12/Livro-CE-finalizado.pdf" TargetMode="External"/><Relationship Id="rId16" Type="http://schemas.openxmlformats.org/officeDocument/2006/relationships/hyperlink" Target="https://hdl.handle.net/1884/66949" TargetMode="External"/><Relationship Id="rId19" Type="http://schemas.openxmlformats.org/officeDocument/2006/relationships/hyperlink" Target="http://ufrr.br/editora/index.php/editais?download=440" TargetMode="External"/><Relationship Id="rId18" Type="http://schemas.openxmlformats.org/officeDocument/2006/relationships/hyperlink" Target="http://eduepb.uepb.edu.br/download/climatologia-aplicada-a-geografia/?wpdmdl=169&amp;amp;masterkey=5af997a99db18" TargetMode="External"/><Relationship Id="rId81" Type="http://schemas.openxmlformats.org/officeDocument/2006/relationships/table" Target="../tables/table4.xml"/><Relationship Id="rId1" Type="http://schemas.openxmlformats.org/officeDocument/2006/relationships/hyperlink" Target="http://guaiaca.ufpel.edu.br/bitstream/prefix/4489/1/Cartografia_geomorfol%c3%b3gica_como_instrumento_para_o_planejamento.pdf" TargetMode="External"/><Relationship Id="rId2" Type="http://schemas.openxmlformats.org/officeDocument/2006/relationships/hyperlink" Target="https://www.editora.ufop.br/index.php/editora/catalog/view/131/108/353-1" TargetMode="External"/><Relationship Id="rId3" Type="http://schemas.openxmlformats.org/officeDocument/2006/relationships/hyperlink" Target="http://www.uesc.br/editora/livrosdigitais2015/ad_sb.pdf" TargetMode="External"/><Relationship Id="rId4" Type="http://schemas.openxmlformats.org/officeDocument/2006/relationships/hyperlink" Target="http://www.uesc.br/editora/livrosdigitais2015/algebra_linear.pdf" TargetMode="External"/><Relationship Id="rId9" Type="http://schemas.openxmlformats.org/officeDocument/2006/relationships/hyperlink" Target="http://www.eduff.uff.br/index.php/catalogo/livros/59-cadernos-de-experimentos-e-curiosidades-da-quimica-na-casa-da-descoberta" TargetMode="External"/><Relationship Id="rId5" Type="http://schemas.openxmlformats.org/officeDocument/2006/relationships/hyperlink" Target="http://www.uesc.br/editora/livrosdigitais2/analiseexploratoria_r.pdf" TargetMode="External"/><Relationship Id="rId6" Type="http://schemas.openxmlformats.org/officeDocument/2006/relationships/hyperlink" Target="http://www.eduff.uff.br/ebooks/Angra-I-e-a-melancolia-de-uma-era.pdf" TargetMode="External"/><Relationship Id="rId7" Type="http://schemas.openxmlformats.org/officeDocument/2006/relationships/hyperlink" Target="http://www.edufu.ufu.br/sites/edufu.ufu.br/files/e-book_aprendendo_a_decidir_2015_0.pdf" TargetMode="External"/><Relationship Id="rId8" Type="http://schemas.openxmlformats.org/officeDocument/2006/relationships/hyperlink" Target="http://www.eduff.uff.br/index.php/livros/729-autocad-2016-para-iniciantes-comandos-basicos-e-exercicios-de-referencia" TargetMode="External"/><Relationship Id="rId73" Type="http://schemas.openxmlformats.org/officeDocument/2006/relationships/hyperlink" Target="http://www.uesc.br/editora/livrosdigitais2/tredit.pdf" TargetMode="External"/><Relationship Id="rId72" Type="http://schemas.openxmlformats.org/officeDocument/2006/relationships/hyperlink" Target="http://www.eduff.uff.br/ebooks/Thomas-Edison-o-genio-da-lampada.pdf" TargetMode="External"/><Relationship Id="rId75" Type="http://schemas.openxmlformats.org/officeDocument/2006/relationships/hyperlink" Target="http://hdl.handle.net/10183/213321" TargetMode="External"/><Relationship Id="rId74" Type="http://schemas.openxmlformats.org/officeDocument/2006/relationships/hyperlink" Target="http://cdn.ueg.edu.br/source/editora_ueg/conteudo_compartilhado/11012/Todo_dia_e_dia_de_ciencia_livro_1_agua_ar_solo.pdf" TargetMode="External"/><Relationship Id="rId77" Type="http://schemas.openxmlformats.org/officeDocument/2006/relationships/hyperlink" Target="http://repositorio.unesc.net/handle/1/7252" TargetMode="External"/><Relationship Id="rId76" Type="http://schemas.openxmlformats.org/officeDocument/2006/relationships/hyperlink" Target="https://www.dropbox.com/s/qlxprem8cu5bnhe/TopografiaGeral.pdf" TargetMode="External"/><Relationship Id="rId79" Type="http://schemas.openxmlformats.org/officeDocument/2006/relationships/drawing" Target="../drawings/drawing5.xml"/><Relationship Id="rId78" Type="http://schemas.openxmlformats.org/officeDocument/2006/relationships/hyperlink" Target="https://editora.ifc.edu.br/2019/11/05/vivencias-e-experiencias-na-formacao-inicial-de-matematica/" TargetMode="External"/><Relationship Id="rId71" Type="http://schemas.openxmlformats.org/officeDocument/2006/relationships/hyperlink" Target="http://eduepb.uepb.edu.br/download/teoria-elementar-dos-numeros-e-suas-aplicac%cc%a7o%cc%83es-em-varias-situac%cc%a7o%cc%83es-do-cotidiano/?wpdmdl=663&amp;amp;masterkey=5cb482bcc008b" TargetMode="External"/><Relationship Id="rId70" Type="http://schemas.openxmlformats.org/officeDocument/2006/relationships/hyperlink" Target="https://portal-archipelagus.azurewebsites.net/farol/eduepg/ebook/tematicas-e-pesquisas-em-ensino-de-quimica-no-estado-do-parana/1175287/" TargetMode="External"/><Relationship Id="rId62" Type="http://schemas.openxmlformats.org/officeDocument/2006/relationships/hyperlink" Target="http://eduepb.uepb.edu.br/download/principais-tecnicas-agrupamento/?wpdmdl=1133&amp;" TargetMode="External"/><Relationship Id="rId61" Type="http://schemas.openxmlformats.org/officeDocument/2006/relationships/hyperlink" Target="http://hdl.handle.net/10183/212741" TargetMode="External"/><Relationship Id="rId64" Type="http://schemas.openxmlformats.org/officeDocument/2006/relationships/hyperlink" Target="http://editora.ifpb.edu.br/index.php/ifpb/catalog/book/233" TargetMode="External"/><Relationship Id="rId63" Type="http://schemas.openxmlformats.org/officeDocument/2006/relationships/hyperlink" Target="http://editora.ifpb.edu.br/index.php/ifpb/catalog/book/85" TargetMode="External"/><Relationship Id="rId66" Type="http://schemas.openxmlformats.org/officeDocument/2006/relationships/hyperlink" Target="http://repositorio.ufpel.edu.br:8080/bitstream/prefix/3798/1/2_REDU%c3%87%c3%83O%20DO%20CONSUMO%20DE%20ENERGIA%20EM%20CODIFICADORES%20DE%20V%c3%8dDEO%20DIGITAIS_S%c3%89RIE%20P%c3%93S%20GRADUA%c3%87%c3%83O.pdf" TargetMode="External"/><Relationship Id="rId65" Type="http://schemas.openxmlformats.org/officeDocument/2006/relationships/hyperlink" Target="http://www.uesc.br/editora/livrosdigitais_20140513/r_cientistas.pdf" TargetMode="External"/><Relationship Id="rId68" Type="http://schemas.openxmlformats.org/officeDocument/2006/relationships/hyperlink" Target="http://repositorio.ufes.br/handle/10/1161" TargetMode="External"/><Relationship Id="rId67" Type="http://schemas.openxmlformats.org/officeDocument/2006/relationships/hyperlink" Target="https://repositorio.ufsc.br/handle/123456789/194405" TargetMode="External"/><Relationship Id="rId60" Type="http://schemas.openxmlformats.org/officeDocument/2006/relationships/hyperlink" Target="http://repositorio.unesc.net/handle/1/5014" TargetMode="External"/><Relationship Id="rId69" Type="http://schemas.openxmlformats.org/officeDocument/2006/relationships/hyperlink" Target="https://editora.ifc.edu.br/2017/12/18/tecnologia-e-rede-de-computadores-3o-edicao/" TargetMode="External"/><Relationship Id="rId51" Type="http://schemas.openxmlformats.org/officeDocument/2006/relationships/hyperlink" Target="https://www.ufpi.br/arquivos_download/arquivos/EDUFPI/Lecture_Notes_on_Geometric_Analysis_L.F.Pessoa_e-book.pdf" TargetMode="External"/><Relationship Id="rId50" Type="http://schemas.openxmlformats.org/officeDocument/2006/relationships/hyperlink" Target="http://campomourao.unespar.edu.br/editora/obras-digitais/jogos-matematicos-na-educacao-basica-a-magia-de-ensinar-e-aprender" TargetMode="External"/><Relationship Id="rId53" Type="http://schemas.openxmlformats.org/officeDocument/2006/relationships/hyperlink" Target="http://campomourao.unespar.edu.br/editora/obras-digitais/manual-didatico-para-o-uso-dos-materiais-do-laboratorio-de-matematica-do-programa-brasil-profissionalizado" TargetMode="External"/><Relationship Id="rId52" Type="http://schemas.openxmlformats.org/officeDocument/2006/relationships/hyperlink" Target="https://www2.unifap.br/editora/files/2019/12/leis-da-natureza-2.pdf" TargetMode="External"/><Relationship Id="rId55" Type="http://schemas.openxmlformats.org/officeDocument/2006/relationships/hyperlink" Target="https://editora.ifc.edu.br/2017/03/20/o-calculo-e-a-matematica-superior-algumas-aplicacoes-1a-edicao/" TargetMode="External"/><Relationship Id="rId54" Type="http://schemas.openxmlformats.org/officeDocument/2006/relationships/hyperlink" Target="http://hdl.handle.net/10183/212829" TargetMode="External"/><Relationship Id="rId57" Type="http://schemas.openxmlformats.org/officeDocument/2006/relationships/hyperlink" Target="http://eduepb.uepb.edu.br/download/objetivos-humanisticos/?wpdmdl=815&amp;" TargetMode="External"/><Relationship Id="rId56" Type="http://schemas.openxmlformats.org/officeDocument/2006/relationships/hyperlink" Target="https://www.editora.ufop.br/index.php/editora/catalog/view/50/35/117-1" TargetMode="External"/><Relationship Id="rId59" Type="http://schemas.openxmlformats.org/officeDocument/2006/relationships/hyperlink" Target="https://portal-archipelagus.azurewebsites.net/farol/eduepg/ebook/os-minerais-elementos-da-geodiversidade/41900/" TargetMode="External"/><Relationship Id="rId58" Type="http://schemas.openxmlformats.org/officeDocument/2006/relationships/hyperlink" Target="https://paginas.uepa.br/eduepa/wp-content/uploads/2020/07/olhares_praticas.pdff" TargetMode="External"/></Relationships>
</file>

<file path=xl/worksheets/_rels/sheet6.xml.rels><?xml version="1.0" encoding="UTF-8" standalone="yes"?><Relationships xmlns="http://schemas.openxmlformats.org/package/2006/relationships"><Relationship Id="rId190" Type="http://schemas.openxmlformats.org/officeDocument/2006/relationships/hyperlink" Target="http://www.editora.puc-rio.br/media/ebook_classes-com-pre-tec-prof.pdf" TargetMode="External"/><Relationship Id="rId194" Type="http://schemas.openxmlformats.org/officeDocument/2006/relationships/hyperlink" Target="http://hdl.handle.net/10183/210290" TargetMode="External"/><Relationship Id="rId193" Type="http://schemas.openxmlformats.org/officeDocument/2006/relationships/hyperlink" Target="http://books.scielo.org/id/27bn3/pdf/jaco-9788575114988.pdf" TargetMode="External"/><Relationship Id="rId192" Type="http://schemas.openxmlformats.org/officeDocument/2006/relationships/hyperlink" Target="https://www.eduerj.com/eng/?product=clio-psyche-discursos-e-praticas-na-historia-da-psicologia-ebook" TargetMode="External"/><Relationship Id="rId191" Type="http://schemas.openxmlformats.org/officeDocument/2006/relationships/hyperlink" Target="http://www.editora.puc-rio.br/media/ebook_classes-com-pre-tec-pol.pdf" TargetMode="External"/><Relationship Id="rId187" Type="http://schemas.openxmlformats.org/officeDocument/2006/relationships/hyperlink" Target="http://www.editora.ufpb.br/sistema/press5/index.php/UFPB/catalog/book/341" TargetMode="External"/><Relationship Id="rId186" Type="http://schemas.openxmlformats.org/officeDocument/2006/relationships/hyperlink" Target="https://www2.unifap.br/editora/files/2014/12/Livro-CH-finalizado.pdf" TargetMode="External"/><Relationship Id="rId185" Type="http://schemas.openxmlformats.org/officeDocument/2006/relationships/hyperlink" Target="http://www.editora.ufrj.br/DynamicItems/livrosabertos-1/Ciencia-e-Publico.pdf" TargetMode="External"/><Relationship Id="rId184" Type="http://schemas.openxmlformats.org/officeDocument/2006/relationships/hyperlink" Target="http://www.editora.ufrj.br/DynamicItems/livrosabertos-1/Cienciaeliberdade_JoseLeiteLopes_compressed.pdf" TargetMode="External"/><Relationship Id="rId189" Type="http://schemas.openxmlformats.org/officeDocument/2006/relationships/hyperlink" Target="https://www.editora.ufop.br/index.php/editora/catalog/view/55/40/132-1" TargetMode="External"/><Relationship Id="rId188" Type="http://schemas.openxmlformats.org/officeDocument/2006/relationships/hyperlink" Target="https://www.editora.ufop.br/index.php/editora/catalog/view/118/93/301-1" TargetMode="External"/><Relationship Id="rId183" Type="http://schemas.openxmlformats.org/officeDocument/2006/relationships/hyperlink" Target="https://www2.unifap.br/editora/files/2019/06/cidade-atelier.pdf" TargetMode="External"/><Relationship Id="rId182" Type="http://schemas.openxmlformats.org/officeDocument/2006/relationships/hyperlink" Target="https://www.eduerj.com/eng/?product=cidadania-movimentos-sociais-e-religiao-abordagens-contemporaneas-ebook" TargetMode="External"/><Relationship Id="rId181" Type="http://schemas.openxmlformats.org/officeDocument/2006/relationships/hyperlink" Target="http://www.uesc.br/editora/livrosdigitais2015/cidadania_discurso_modernidade.pdf" TargetMode="External"/><Relationship Id="rId180" Type="http://schemas.openxmlformats.org/officeDocument/2006/relationships/hyperlink" Target="http://www.edufu.ufu.br/sites/edufu.ufu.br/files/e-book_comissao_nac_verdade_2016_0.pdf" TargetMode="External"/><Relationship Id="rId176" Type="http://schemas.openxmlformats.org/officeDocument/2006/relationships/hyperlink" Target="http://repositorio.unesc.net/handle/1/4951" TargetMode="External"/><Relationship Id="rId175" Type="http://schemas.openxmlformats.org/officeDocument/2006/relationships/hyperlink" Target="http://repositorio.ufes.br/bitstream/10/1630/1/Cartas%20para%20pensar%20politicas%20de%20pesquisa%20em%20psicologia.pdf" TargetMode="External"/><Relationship Id="rId174" Type="http://schemas.openxmlformats.org/officeDocument/2006/relationships/hyperlink" Target="http://omp.ufgd.edu.br/omp/index.php/livrosabertos/catalog/view/61/65/220-1" TargetMode="External"/><Relationship Id="rId173" Type="http://schemas.openxmlformats.org/officeDocument/2006/relationships/hyperlink" Target="http://repositorio.ufba.br/ri/handle/ri/18224" TargetMode="External"/><Relationship Id="rId179" Type="http://schemas.openxmlformats.org/officeDocument/2006/relationships/hyperlink" Target="https://www.editora.ufop.br/index.php/editora/catalog/view/36/24/83-1" TargetMode="External"/><Relationship Id="rId178" Type="http://schemas.openxmlformats.org/officeDocument/2006/relationships/hyperlink" Target="http://www.casaruibarbosa.gov.br/arquivos/file/Casa%20de%20Rui%20Barbosa%20-%20Resumo%20de%20suas%20Atividades%20OCR.pdf" TargetMode="External"/><Relationship Id="rId177" Type="http://schemas.openxmlformats.org/officeDocument/2006/relationships/hyperlink" Target="http://www.eduff.uff.br/index.php/livros/38-cartografia-do-desassossego-o-encontro-entre-os-psicologos-e-o-campo-juridico" TargetMode="External"/><Relationship Id="rId198" Type="http://schemas.openxmlformats.org/officeDocument/2006/relationships/hyperlink" Target="http://ufrr.br/editora/index.php/editais?download=443" TargetMode="External"/><Relationship Id="rId197" Type="http://schemas.openxmlformats.org/officeDocument/2006/relationships/hyperlink" Target="http://ufrr.br/editora/index.php/editais?download=444" TargetMode="External"/><Relationship Id="rId196" Type="http://schemas.openxmlformats.org/officeDocument/2006/relationships/hyperlink" Target="http://ufrr.br/editora/index.php/editais?download=416" TargetMode="External"/><Relationship Id="rId195" Type="http://schemas.openxmlformats.org/officeDocument/2006/relationships/hyperlink" Target="http://repositorio.ufes.br/handle/10/830" TargetMode="External"/><Relationship Id="rId199" Type="http://schemas.openxmlformats.org/officeDocument/2006/relationships/hyperlink" Target="https://www.ufpi.br/arquivos_download/arquivos/EDUFPI/VOLUME-01.pdf" TargetMode="External"/><Relationship Id="rId150" Type="http://schemas.openxmlformats.org/officeDocument/2006/relationships/hyperlink" Target="http://www.uvanet.br/edicoes_uva/gera_xml.php?arquivo=atlas_paleontologia" TargetMode="External"/><Relationship Id="rId392" Type="http://schemas.openxmlformats.org/officeDocument/2006/relationships/hyperlink" Target="http://omp.ufgd.edu.br/omp/index.php/livrosabertos/catalog/view/97/103/379-1" TargetMode="External"/><Relationship Id="rId391" Type="http://schemas.openxmlformats.org/officeDocument/2006/relationships/hyperlink" Target="https://www.edufscar.com.br/farol/edufscar/ebook/environments-technoscience-and-its-relation-to-sustainability-ethics-aesthetics-health-and-the-human-future/830536/" TargetMode="External"/><Relationship Id="rId390" Type="http://schemas.openxmlformats.org/officeDocument/2006/relationships/hyperlink" Target="http://campomourao.unespar.edu.br/editora/obras-digitais/envelhecimento-humano-na-escola-experiencias-de-iniciacao-a-docencia" TargetMode="External"/><Relationship Id="rId1" Type="http://schemas.openxmlformats.org/officeDocument/2006/relationships/hyperlink" Target="https://livros.unb.br/index.php/portal/catalog/view/16/15/66-2" TargetMode="External"/><Relationship Id="rId2" Type="http://schemas.openxmlformats.org/officeDocument/2006/relationships/hyperlink" Target="http://www.uesc.br/editora/livrosdigitais2015/indisciplina_na_escola.pdf" TargetMode="External"/><Relationship Id="rId3" Type="http://schemas.openxmlformats.org/officeDocument/2006/relationships/hyperlink" Target="http://www.eduff.uff.br/ebooks/UFF-50-anos.pdf" TargetMode="External"/><Relationship Id="rId149" Type="http://schemas.openxmlformats.org/officeDocument/2006/relationships/hyperlink" Target="http://www.editora.puc-rio.br/media/ebook_atlas_vida_rio_de_janeiro.pdf" TargetMode="External"/><Relationship Id="rId4" Type="http://schemas.openxmlformats.org/officeDocument/2006/relationships/hyperlink" Target="http://omp.ufgd.edu.br/omp/index.php/livrosabertos/catalog/view/6/4/21-1" TargetMode="External"/><Relationship Id="rId148" Type="http://schemas.openxmlformats.org/officeDocument/2006/relationships/hyperlink" Target="http://www.edufu.ufu.br/sites/edufu.ufu.br/files/e-book_discursos_e_tensoes_v3_0.pdf" TargetMode="External"/><Relationship Id="rId9" Type="http://schemas.openxmlformats.org/officeDocument/2006/relationships/hyperlink" Target="http://www.casaruibarbosa.gov.br/arquivos/file/A%20casa%20de%20Rui%20cheia%20de%20encantos%20OCR.pdf" TargetMode="External"/><Relationship Id="rId143" Type="http://schemas.openxmlformats.org/officeDocument/2006/relationships/hyperlink" Target="http://cdn.ueg.edu.br/source/editora_ueg/conteudoN/4946/pdf_colecao_olhares/livro06_itelvides_jose.pdf" TargetMode="External"/><Relationship Id="rId385" Type="http://schemas.openxmlformats.org/officeDocument/2006/relationships/hyperlink" Target="http://www.editora.ufpb.br/sistema/press5/index.php/UFPB/catalog/book/321" TargetMode="External"/><Relationship Id="rId142" Type="http://schemas.openxmlformats.org/officeDocument/2006/relationships/hyperlink" Target="http://hdl.handle.net/10183/199975" TargetMode="External"/><Relationship Id="rId384" Type="http://schemas.openxmlformats.org/officeDocument/2006/relationships/hyperlink" Target="http://www.editora.ufrpe.br/Entre_a_Terra_e_o_Ceu" TargetMode="External"/><Relationship Id="rId141" Type="http://schemas.openxmlformats.org/officeDocument/2006/relationships/hyperlink" Target="http://www.eduff.uff.br/ebooks/As-Republicas-no-Brasil.pdf" TargetMode="External"/><Relationship Id="rId383" Type="http://schemas.openxmlformats.org/officeDocument/2006/relationships/hyperlink" Target="http://editora.ifpb.edu.br/index.php/ifpb/catalog/book/349" TargetMode="External"/><Relationship Id="rId140" Type="http://schemas.openxmlformats.org/officeDocument/2006/relationships/hyperlink" Target="http://www.uesc.br/editora/livrosdigitais2015/as_representacoes_na_geografia.pdf" TargetMode="External"/><Relationship Id="rId382" Type="http://schemas.openxmlformats.org/officeDocument/2006/relationships/hyperlink" Target="http://www.eduff.uff.br/ebooks/Entre-a-caserna-e-a-rua.pdf" TargetMode="External"/><Relationship Id="rId5" Type="http://schemas.openxmlformats.org/officeDocument/2006/relationships/hyperlink" Target="http://omp.ufgd.edu.br/omp/index.php/livrosabertos/catalog/view/33/34/104-2" TargetMode="External"/><Relationship Id="rId147" Type="http://schemas.openxmlformats.org/officeDocument/2006/relationships/hyperlink" Target="http://www.edufu.ufu.br/sites/edufu.ufu.br/files/e-book_atendimento_educacional_para_surdos_2013_0.pdf" TargetMode="External"/><Relationship Id="rId389" Type="http://schemas.openxmlformats.org/officeDocument/2006/relationships/hyperlink" Target="http://editora.ifpb.edu.br/index.php/ifpb/catalog/book/351" TargetMode="External"/><Relationship Id="rId6" Type="http://schemas.openxmlformats.org/officeDocument/2006/relationships/hyperlink" Target="http://www.eduff.uff.br/ebooks/Antropologia-da-academia-Edicao-2.pdf" TargetMode="External"/><Relationship Id="rId146" Type="http://schemas.openxmlformats.org/officeDocument/2006/relationships/hyperlink" Target="http://omp.ufgd.edu.br/omp/index.php/livrosabertos/catalog/view/57/61/209-1" TargetMode="External"/><Relationship Id="rId388" Type="http://schemas.openxmlformats.org/officeDocument/2006/relationships/hyperlink" Target="https://www.dropbox.com/s/kjou0gboz8qgf8p/livro03_Entre_Reflexoes_e_Praticas_Feministas.pdf?dl=0" TargetMode="External"/><Relationship Id="rId7" Type="http://schemas.openxmlformats.org/officeDocument/2006/relationships/hyperlink" Target="http://www.uesc.br/editora/livrosdigitais2019/a_arte_de_tecer_a_si_mesmo.pdf" TargetMode="External"/><Relationship Id="rId145" Type="http://schemas.openxmlformats.org/officeDocument/2006/relationships/hyperlink" Target="http://www.eduff.uff.br/ebooks/Assentamento-rural.pdf" TargetMode="External"/><Relationship Id="rId387" Type="http://schemas.openxmlformats.org/officeDocument/2006/relationships/hyperlink" Target="http://omp.ufgd.edu.br/omp/index.php/livrosabertos/catalog/view/96/102/378-1" TargetMode="External"/><Relationship Id="rId8" Type="http://schemas.openxmlformats.org/officeDocument/2006/relationships/hyperlink" Target="http://www.editora.ufrj.br/DynamicItems/livrosabertos-1/AventuraFreudiana_compressed.pdf" TargetMode="External"/><Relationship Id="rId144" Type="http://schemas.openxmlformats.org/officeDocument/2006/relationships/hyperlink" Target="http://dx.doi.org/10.18616/mtgo" TargetMode="External"/><Relationship Id="rId386" Type="http://schemas.openxmlformats.org/officeDocument/2006/relationships/hyperlink" Target="http://cdn.ueg.edu.br/source/editora_ueg/conteudoN/4946/pdf_colecao_olhares/livro08_maria_de_fatima.pdf" TargetMode="External"/><Relationship Id="rId381" Type="http://schemas.openxmlformats.org/officeDocument/2006/relationships/hyperlink" Target="https://www.eduerj.com/eng/?product=entradas-e-bandeiras-a-conquista-do-brasil-pelo-futebol-2" TargetMode="External"/><Relationship Id="rId380" Type="http://schemas.openxmlformats.org/officeDocument/2006/relationships/hyperlink" Target="https://portaleditora.ufra.edu.br/images/Ensino_Tecnico_UFRA.pdf" TargetMode="External"/><Relationship Id="rId139" Type="http://schemas.openxmlformats.org/officeDocument/2006/relationships/hyperlink" Target="http://www.editora.ufpb.br/sistema/press5/index.php/UFPB/catalog/book/202" TargetMode="External"/><Relationship Id="rId138" Type="http://schemas.openxmlformats.org/officeDocument/2006/relationships/hyperlink" Target="http://www.editora.ufrj.br/DynamicItems/livrosabertos-1/PatorinhasRealengo-compressed.pdf" TargetMode="External"/><Relationship Id="rId137" Type="http://schemas.openxmlformats.org/officeDocument/2006/relationships/hyperlink" Target="http://editora.ifpb.edu.br/index.php/ifpb/catalog/book/212" TargetMode="External"/><Relationship Id="rId379" Type="http://schemas.openxmlformats.org/officeDocument/2006/relationships/hyperlink" Target="http://editora.metodista.br/livros-gratis/ensinomedio1-11-2016.pdf/at_download/file" TargetMode="External"/><Relationship Id="rId132" Type="http://schemas.openxmlformats.org/officeDocument/2006/relationships/hyperlink" Target="https://www.editora.ufop.br/index.php/editora/catalog/view/33/21/74-1" TargetMode="External"/><Relationship Id="rId374" Type="http://schemas.openxmlformats.org/officeDocument/2006/relationships/hyperlink" Target="http://omp.ufgd.edu.br/omp/index.php/livrosabertos/catalog/view/94/101/377-1" TargetMode="External"/><Relationship Id="rId131" Type="http://schemas.openxmlformats.org/officeDocument/2006/relationships/hyperlink" Target="https://bit.ly/As-edicoes-do-canone" TargetMode="External"/><Relationship Id="rId373" Type="http://schemas.openxmlformats.org/officeDocument/2006/relationships/hyperlink" Target="https://www.ufpi.br/arquivos_download/arquivos/EDUFPI/Livro_Brandim_MRL_Nogueira_JF_ECB_RP_120181113155152.pdf" TargetMode="External"/><Relationship Id="rId130" Type="http://schemas.openxmlformats.org/officeDocument/2006/relationships/hyperlink" Target="https://www.editora.ufop.br/index.php/editora/catalog/view/15/5/24-1" TargetMode="External"/><Relationship Id="rId372" Type="http://schemas.openxmlformats.org/officeDocument/2006/relationships/hyperlink" Target="http://www.editora.ufpb.br/sistema/press5/index.php/UFPB/catalog/book/554" TargetMode="External"/><Relationship Id="rId371" Type="http://schemas.openxmlformats.org/officeDocument/2006/relationships/hyperlink" Target="http://www.uesc.br/editora/livrosdigitais2019/ensaio_%20sobre_fenomenologia.pdf" TargetMode="External"/><Relationship Id="rId136" Type="http://schemas.openxmlformats.org/officeDocument/2006/relationships/hyperlink" Target="http://repositorio.ufes.br/bitstream/10/1159/1/Livro%20edufes%20As%20m%C3%BAltiplas%20faces%20do%20discurso%20em%20Roma%20textos%2C%20inscri%C3%A7%C3%B5es%2C%20imagens.pdf" TargetMode="External"/><Relationship Id="rId378" Type="http://schemas.openxmlformats.org/officeDocument/2006/relationships/hyperlink" Target="http://www.edufu.ufu.br/sites/edufu.ufu.br/files/e-book_ensino_desenvolvimental_livro_ii_2015_0.pdf" TargetMode="External"/><Relationship Id="rId135" Type="http://schemas.openxmlformats.org/officeDocument/2006/relationships/hyperlink" Target="https://www.dropbox.com/s/k4164nsjec81zbq/Mulheres_na_Cidade_do_Recife.pdf?dl=0" TargetMode="External"/><Relationship Id="rId377" Type="http://schemas.openxmlformats.org/officeDocument/2006/relationships/hyperlink" Target="http://omp.ufgd.edu.br/omp/index.php/livrosabertos/catalog/view/95/55/180-1" TargetMode="External"/><Relationship Id="rId134" Type="http://schemas.openxmlformats.org/officeDocument/2006/relationships/hyperlink" Target="http://omp.ufgd.edu.br/omp/index.php/livrosabertos/catalog/view/56/60/208-1" TargetMode="External"/><Relationship Id="rId376" Type="http://schemas.openxmlformats.org/officeDocument/2006/relationships/hyperlink" Target="https://www.ufpi.br/arquivos_download/arquivos/EDUFPI/Livro_Ensino_de_ci%C3%AAncias-_relatos_e_pesquisas_no_panorama_piauiense.pdf" TargetMode="External"/><Relationship Id="rId133" Type="http://schemas.openxmlformats.org/officeDocument/2006/relationships/hyperlink" Target="https://hdl.handle.net/1884/67246" TargetMode="External"/><Relationship Id="rId375" Type="http://schemas.openxmlformats.org/officeDocument/2006/relationships/hyperlink" Target="https://editora.ifg.edu.br/editoraifg/catalog/view/7/6/25-2" TargetMode="External"/><Relationship Id="rId172" Type="http://schemas.openxmlformats.org/officeDocument/2006/relationships/hyperlink" Target="https://editora.ifc.edu.br/2020/02/28/campus-ibirama-ensino-pesquisa-e-extensao-ano-iii/" TargetMode="External"/><Relationship Id="rId171" Type="http://schemas.openxmlformats.org/officeDocument/2006/relationships/hyperlink" Target="http://eduepb.uepb.edu.br/download/campina-grande-hoje-e-amanha-2a-edicao/?wpdmdl=165&amp;amp;masterkey=5af996f9cc88d" TargetMode="External"/><Relationship Id="rId170" Type="http://schemas.openxmlformats.org/officeDocument/2006/relationships/hyperlink" Target="http://eduepb.uepb.edu.br/download/campina-grande-hoje-e-amanha/?wpdmdl=164&amp;amp;masterkey=5af996d3c3dfd" TargetMode="External"/><Relationship Id="rId165" Type="http://schemas.openxmlformats.org/officeDocument/2006/relationships/hyperlink" Target="https://www.eduerj.com/eng/?product=brasil-portugal-pontes-sobre-o-atlantico-multiplos-olhares-sobre-a-e-imigracao-ebook" TargetMode="External"/><Relationship Id="rId164" Type="http://schemas.openxmlformats.org/officeDocument/2006/relationships/hyperlink" Target="https://www.editora.ufop.br/index.php/editora/catalog/view/35/23/80-1" TargetMode="External"/><Relationship Id="rId163" Type="http://schemas.openxmlformats.org/officeDocument/2006/relationships/hyperlink" Target="https://repositorio.ufsc.br/handle/123456789/187609" TargetMode="External"/><Relationship Id="rId162" Type="http://schemas.openxmlformats.org/officeDocument/2006/relationships/hyperlink" Target="http://repositorio.ufes.br/handle/10/1904" TargetMode="External"/><Relationship Id="rId169" Type="http://schemas.openxmlformats.org/officeDocument/2006/relationships/hyperlink" Target="https://hdl.handle.net/1884/68160" TargetMode="External"/><Relationship Id="rId168" Type="http://schemas.openxmlformats.org/officeDocument/2006/relationships/hyperlink" Target="http://www.eduff.uff.br/ebooks/Caminhos-da-liberdade.pdf" TargetMode="External"/><Relationship Id="rId167" Type="http://schemas.openxmlformats.org/officeDocument/2006/relationships/hyperlink" Target="http://www.eduff.uff.br/index.php/livros/222-cadernos-creche-uff-textos-de-formacao-e-pratica" TargetMode="External"/><Relationship Id="rId166" Type="http://schemas.openxmlformats.org/officeDocument/2006/relationships/hyperlink" Target="http://www.editora.puc-rio.br/media/OpenDemocracy%20completo.pdf" TargetMode="External"/><Relationship Id="rId161" Type="http://schemas.openxmlformats.org/officeDocument/2006/relationships/hyperlink" Target="http://www.uems.br/assets/uploads/editora/arquivos/2_2016-09-29_16-52-43.pdf" TargetMode="External"/><Relationship Id="rId160" Type="http://schemas.openxmlformats.org/officeDocument/2006/relationships/hyperlink" Target="https://www.ufpi.br/arquivos_download/arquivos/2019-AVALIACAO_PSICOLOGICA_REVISADO_COM_FICHA20191008143045.pdf" TargetMode="External"/><Relationship Id="rId159" Type="http://schemas.openxmlformats.org/officeDocument/2006/relationships/hyperlink" Target="http://omp.ufgd.edu.br/omp/index.php/livrosabertos/catalog/view/116/63/213-1" TargetMode="External"/><Relationship Id="rId154" Type="http://schemas.openxmlformats.org/officeDocument/2006/relationships/hyperlink" Target="https://www.eduerj.com/eng/?product=atlas-geografico-municipio-de-tres-rios" TargetMode="External"/><Relationship Id="rId396" Type="http://schemas.openxmlformats.org/officeDocument/2006/relationships/hyperlink" Target="http://www.editora.ufpb.br/sistema/press5/index.php/UFPB/catalog/book/223" TargetMode="External"/><Relationship Id="rId153" Type="http://schemas.openxmlformats.org/officeDocument/2006/relationships/hyperlink" Target="https://www.eduerj.com/eng/?product=atlas-geografico-municipio-de-itaborai" TargetMode="External"/><Relationship Id="rId395" Type="http://schemas.openxmlformats.org/officeDocument/2006/relationships/hyperlink" Target="http://www.unemat.br/reitoria/editora/downloads/eletronico/escrita_da_historia.pdf" TargetMode="External"/><Relationship Id="rId152" Type="http://schemas.openxmlformats.org/officeDocument/2006/relationships/hyperlink" Target="https://www.eduerj.com/eng/?product=atlas-do-municipio-de-nova-friburgo" TargetMode="External"/><Relationship Id="rId394" Type="http://schemas.openxmlformats.org/officeDocument/2006/relationships/hyperlink" Target="http://www.eduff.uff.br/ebooks/Escravidao-africana-no-reconcavo-da-Guanabara.pdf" TargetMode="External"/><Relationship Id="rId151" Type="http://schemas.openxmlformats.org/officeDocument/2006/relationships/hyperlink" Target="https://www.eduerj.com/eng/?product=municipio-de-natividade" TargetMode="External"/><Relationship Id="rId393" Type="http://schemas.openxmlformats.org/officeDocument/2006/relationships/hyperlink" Target="http://repositorio.ufes.br/bitstream/10/860/1/Livro%20Escola%20prim%C3%A1ria%20e%20ensino%20da%20leitura%20e%20da%20escrita%20alfabetizacao%20no%20Esp%C3%ADrito%20Santo%20Edufes.pdf" TargetMode="External"/><Relationship Id="rId158" Type="http://schemas.openxmlformats.org/officeDocument/2006/relationships/hyperlink" Target="http://www.editora.ufpb.br/sistema/press5/index.php/UFPB/catalog/book/222" TargetMode="External"/><Relationship Id="rId157" Type="http://schemas.openxmlformats.org/officeDocument/2006/relationships/hyperlink" Target="https://www.edufscar.com.br/farol/edufscar/ebook/avaliacao-da-educacao-referencias-para-uma-primeira-conversa/52929/" TargetMode="External"/><Relationship Id="rId399" Type="http://schemas.openxmlformats.org/officeDocument/2006/relationships/hyperlink" Target="http://www.edufu.ufu.br/sites/edufu.ufu.br/files/e-book_final_escuta_critica_e-classe_2019_.pdf" TargetMode="External"/><Relationship Id="rId156" Type="http://schemas.openxmlformats.org/officeDocument/2006/relationships/hyperlink" Target="http://eduepb.uepb.edu.br/download/atualizacoes-na-profissionalizacao-docente-pibid-uepb/?wpdmdl=494&amp;amp;masterkey=5ba8cbce33739" TargetMode="External"/><Relationship Id="rId398" Type="http://schemas.openxmlformats.org/officeDocument/2006/relationships/hyperlink" Target="http://www.eduff.uff.br/ebooks/Esculhamba-mas-nao-esculacha.pdf" TargetMode="External"/><Relationship Id="rId155" Type="http://schemas.openxmlformats.org/officeDocument/2006/relationships/hyperlink" Target="http://www.uesc.br/editora/livrosdigitais/atos-infracionais-medidas-socioeducativas.pdf" TargetMode="External"/><Relationship Id="rId397" Type="http://schemas.openxmlformats.org/officeDocument/2006/relationships/hyperlink" Target="http://www.casaruibarbosa.gov.br/arquivos/file/Escritos-sobre-politicas-culturais_miolo2.pdf" TargetMode="External"/><Relationship Id="rId808" Type="http://schemas.openxmlformats.org/officeDocument/2006/relationships/hyperlink" Target="http://omp.ufgd.edu.br/omp/index.php/livrosabertos/catalog/view/51/51/132-1" TargetMode="External"/><Relationship Id="rId807" Type="http://schemas.openxmlformats.org/officeDocument/2006/relationships/hyperlink" Target="http://omp.ufgd.edu.br/omp/index.php/livrosabertos/catalog/view/52/52/134-1" TargetMode="External"/><Relationship Id="rId806" Type="http://schemas.openxmlformats.org/officeDocument/2006/relationships/hyperlink" Target="http://www.uvanet.br/edicoes_uva/gera_xml.php?arquivo=saberes_sabores" TargetMode="External"/><Relationship Id="rId805" Type="http://schemas.openxmlformats.org/officeDocument/2006/relationships/hyperlink" Target="http://omp.ufgd.edu.br/omp/index.php/livrosabertos/catalog/view/53/53/136-1" TargetMode="External"/><Relationship Id="rId809" Type="http://schemas.openxmlformats.org/officeDocument/2006/relationships/hyperlink" Target="https://www.eduerj.com/eng/?product=salas-abertas-formacao-de-professores-e-praticas-pedagogicas-em-comunicacao-alternativa-e-ampliada-nas-salas-de-recursos-multifuncionais" TargetMode="External"/><Relationship Id="rId800" Type="http://schemas.openxmlformats.org/officeDocument/2006/relationships/hyperlink" Target="http://books.scielo.org/id/3zhhw/pdf/marafon-9788575114575.pdf" TargetMode="External"/><Relationship Id="rId804" Type="http://schemas.openxmlformats.org/officeDocument/2006/relationships/hyperlink" Target="http://www.casaruibarbosa.gov.br/arquivos/file/rui%20barbosa%20e%20a%20queima%20dos%20arquivos%20OCR.pdf" TargetMode="External"/><Relationship Id="rId803" Type="http://schemas.openxmlformats.org/officeDocument/2006/relationships/hyperlink" Target="https://www.eduerj.com/eng/?product=rio-de-janeiro-uma-abordagem-dialogica-sobre-o-territorio-fluminense" TargetMode="External"/><Relationship Id="rId802" Type="http://schemas.openxmlformats.org/officeDocument/2006/relationships/hyperlink" Target="http://books.scielo.org/id/tkysm/pdf/penalva-9788575115169.pdf" TargetMode="External"/><Relationship Id="rId801" Type="http://schemas.openxmlformats.org/officeDocument/2006/relationships/hyperlink" Target="https://paginas.uepa.br/eduepa/wp-content/uploads/2020/02/revolucao_cabana.pdf" TargetMode="External"/><Relationship Id="rId40" Type="http://schemas.openxmlformats.org/officeDocument/2006/relationships/hyperlink" Target="https://www2.unifap.br/editora/files/2020/02/formacao-de-professores-em-educacao-matematica.pdf" TargetMode="External"/><Relationship Id="rId42" Type="http://schemas.openxmlformats.org/officeDocument/2006/relationships/hyperlink" Target="https://drive.google.com/file/d/1Ce8pf6OdmHaqGStOPCyF_KXN2_tYIyvg/view" TargetMode="External"/><Relationship Id="rId41" Type="http://schemas.openxmlformats.org/officeDocument/2006/relationships/hyperlink" Target="http://eduepb.uepb.edu.br/download/a-formacao-de-professores-entre-a-universidade-e-a-educacao-basica/?wpdmdl=915&amp;" TargetMode="External"/><Relationship Id="rId44" Type="http://schemas.openxmlformats.org/officeDocument/2006/relationships/hyperlink" Target="https://www.editoraargos.com.br/farol/editoraargos/ebook/a-fundeste-e-o-ensino-superior-no-oeste-catarinense-50-anos-de-historia/1306241/" TargetMode="External"/><Relationship Id="rId43" Type="http://schemas.openxmlformats.org/officeDocument/2006/relationships/hyperlink" Target="http://hdl.handle.net/1884/29751" TargetMode="External"/><Relationship Id="rId46" Type="http://schemas.openxmlformats.org/officeDocument/2006/relationships/hyperlink" Target="https://www.eduerj.com/eng/?product=a-historia-da-educacao-em-manuscritos" TargetMode="External"/><Relationship Id="rId45" Type="http://schemas.openxmlformats.org/officeDocument/2006/relationships/hyperlink" Target="http://books.scielo.org/id/d2cmj/pdf/silva-9788575114834.pdf" TargetMode="External"/><Relationship Id="rId509" Type="http://schemas.openxmlformats.org/officeDocument/2006/relationships/hyperlink" Target="http://www.uvanet.br/edicoes_uva/gera_xml.php?arquivo=historia_ensino" TargetMode="External"/><Relationship Id="rId508" Type="http://schemas.openxmlformats.org/officeDocument/2006/relationships/hyperlink" Target="http://www.editora.ufc.br/catalogo/24-educacao/985-historia-e-educacao-comparada-discursos-instituicoes-e-praticas-educativas" TargetMode="External"/><Relationship Id="rId503" Type="http://schemas.openxmlformats.org/officeDocument/2006/relationships/hyperlink" Target="http://omp.ufgd.edu.br/omp/index.php/livrosabertos/catalog/view/120/223/504-1" TargetMode="External"/><Relationship Id="rId745" Type="http://schemas.openxmlformats.org/officeDocument/2006/relationships/hyperlink" Target="http://omp.ufgd.edu.br/omp/index.php/livrosabertos/catalog/view/171/174/454-1" TargetMode="External"/><Relationship Id="rId502" Type="http://schemas.openxmlformats.org/officeDocument/2006/relationships/hyperlink" Target="https://www.eduerj.com/eng/?product=historia-da-educacao-no-rio-de-janeiro-instituicoes-saberes-e-sujeitos-ebook" TargetMode="External"/><Relationship Id="rId744" Type="http://schemas.openxmlformats.org/officeDocument/2006/relationships/hyperlink" Target="https://www.eduerj.com/eng/?product=politicas-de-integracao-curricular-2" TargetMode="External"/><Relationship Id="rId501" Type="http://schemas.openxmlformats.org/officeDocument/2006/relationships/hyperlink" Target="http://omp.ufgd.edu.br/omp/index.php/livrosabertos/catalog/view/118/224/505-1" TargetMode="External"/><Relationship Id="rId743" Type="http://schemas.openxmlformats.org/officeDocument/2006/relationships/hyperlink" Target="https://www.editora.ufop.br/index.php/editora/catalog/view/126/101/331-1" TargetMode="External"/><Relationship Id="rId500" Type="http://schemas.openxmlformats.org/officeDocument/2006/relationships/hyperlink" Target="https://www.editora.ufop.br/index.php/editora/catalog/view/43/29/99-1" TargetMode="External"/><Relationship Id="rId742" Type="http://schemas.openxmlformats.org/officeDocument/2006/relationships/hyperlink" Target="http://bit.ly/Politicas-de-formacao-de-jovens-e-adultos" TargetMode="External"/><Relationship Id="rId507" Type="http://schemas.openxmlformats.org/officeDocument/2006/relationships/hyperlink" Target="http://www.editora.ufpb.br/sistema/press5/index.php/UFPB/catalog/book/438" TargetMode="External"/><Relationship Id="rId749" Type="http://schemas.openxmlformats.org/officeDocument/2006/relationships/hyperlink" Target="http://www.editora.ufpb.br/sistema/press5/index.php/UFPB/catalog/book/492" TargetMode="External"/><Relationship Id="rId506" Type="http://schemas.openxmlformats.org/officeDocument/2006/relationships/hyperlink" Target="https://www.eduerj.com/eng/?product=historia-das-relacoes-internacionais-teoria-e-processos-3" TargetMode="External"/><Relationship Id="rId748" Type="http://schemas.openxmlformats.org/officeDocument/2006/relationships/hyperlink" Target="http://hdl.handle.net/10183/213378" TargetMode="External"/><Relationship Id="rId505" Type="http://schemas.openxmlformats.org/officeDocument/2006/relationships/hyperlink" Target="https://www.editora.ufop.br/index.php/editora/catalog/view/142/113/371-1" TargetMode="External"/><Relationship Id="rId747" Type="http://schemas.openxmlformats.org/officeDocument/2006/relationships/hyperlink" Target="http://cdn.ueg.edu.br/source/editora_ueg/conteudo_compartilhado/11029/ebook_politicas_educacionais_lucia_freitas_2016.pdf" TargetMode="External"/><Relationship Id="rId504" Type="http://schemas.openxmlformats.org/officeDocument/2006/relationships/hyperlink" Target="http://bit.ly/Historia-da-educacao" TargetMode="External"/><Relationship Id="rId746" Type="http://schemas.openxmlformats.org/officeDocument/2006/relationships/hyperlink" Target="http://www.editora.ufpb.br/sistema/press5/index.php/UFPB/catalog/book/546" TargetMode="External"/><Relationship Id="rId48" Type="http://schemas.openxmlformats.org/officeDocument/2006/relationships/hyperlink" Target="http://www.editora.ufpb.br/sistema/press5/index.php/UFPB/catalog/book/138" TargetMode="External"/><Relationship Id="rId47" Type="http://schemas.openxmlformats.org/officeDocument/2006/relationships/hyperlink" Target="http://omp.ufgd.edu.br/omp/index.php/livrosabertos/catalog/view/13/12/42-1" TargetMode="External"/><Relationship Id="rId49" Type="http://schemas.openxmlformats.org/officeDocument/2006/relationships/hyperlink" Target="https://editora.ifg.edu.br/editoraifg/catalog/view/15/14/45-1" TargetMode="External"/><Relationship Id="rId741" Type="http://schemas.openxmlformats.org/officeDocument/2006/relationships/hyperlink" Target="https://www2.unifap.br/editora/files/2019/03/politica-cultura-e-sociedade-na-contemporaneidade.pdf" TargetMode="External"/><Relationship Id="rId740" Type="http://schemas.openxmlformats.org/officeDocument/2006/relationships/hyperlink" Target="http://www.editora.ufpb.br/sistema/press5/index.php/UFPB/catalog/book/481" TargetMode="External"/><Relationship Id="rId31" Type="http://schemas.openxmlformats.org/officeDocument/2006/relationships/hyperlink" Target="http://omp.ufgd.edu.br/omp/index.php/livrosabertos/catalog/view/10/9/36-1" TargetMode="External"/><Relationship Id="rId30" Type="http://schemas.openxmlformats.org/officeDocument/2006/relationships/hyperlink" Target="http://eduepb.uepb.edu.br/download/a-educacao-popular-nos-tempos-da-ditadura-2/?wpdmdl=738&amp;amp;masterkey=5d1a0a37c7a56" TargetMode="External"/><Relationship Id="rId33" Type="http://schemas.openxmlformats.org/officeDocument/2006/relationships/hyperlink" Target="http://omp.ufgd.edu.br/omp/index.php/livrosabertos/catalog/view/12/11/40-1" TargetMode="External"/><Relationship Id="rId32" Type="http://schemas.openxmlformats.org/officeDocument/2006/relationships/hyperlink" Target="http://eduepb.uepb.edu.br/download/a-escrita-da-voz-e-do-nome/?wpdmdl=710&amp;amp;masterkey=5cfe3f1224c55" TargetMode="External"/><Relationship Id="rId35" Type="http://schemas.openxmlformats.org/officeDocument/2006/relationships/hyperlink" Target="https://www.editora.ufop.br/index.php/editora/catalog/view/12/3/17-1" TargetMode="External"/><Relationship Id="rId34" Type="http://schemas.openxmlformats.org/officeDocument/2006/relationships/hyperlink" Target="http://www.edufu.ufu.br/sites/edufu.ufu.br/files/e-book_a_etica_de_pedro_abelardo_2016_1.pdf" TargetMode="External"/><Relationship Id="rId739" Type="http://schemas.openxmlformats.org/officeDocument/2006/relationships/hyperlink" Target="http://omp.ufgd.edu.br/omp/index.php/livrosabertos/catalog/view/170/175/456-1" TargetMode="External"/><Relationship Id="rId734" Type="http://schemas.openxmlformats.org/officeDocument/2006/relationships/hyperlink" Target="https://www2.unifap.br/editora/files/2019/03/Planes-geoestrategicos.pdf" TargetMode="External"/><Relationship Id="rId733" Type="http://schemas.openxmlformats.org/officeDocument/2006/relationships/hyperlink" Target="http://omp.ufgd.edu.br/omp/index.php/livrosabertos/catalog/view/239/124/403-1" TargetMode="External"/><Relationship Id="rId732" Type="http://schemas.openxmlformats.org/officeDocument/2006/relationships/hyperlink" Target="http://editora.metodista.br/livros-gratis/piracicaba-1964/at_download/file" TargetMode="External"/><Relationship Id="rId731" Type="http://schemas.openxmlformats.org/officeDocument/2006/relationships/hyperlink" Target="http://omp.ufgd.edu.br/omp/index.php/livrosabertos/catalog/view/166/179/460-1" TargetMode="External"/><Relationship Id="rId738" Type="http://schemas.openxmlformats.org/officeDocument/2006/relationships/hyperlink" Target="http://omp.ufgd.edu.br/omp/index.php/livrosabertos/catalog/view/169/176/457-1" TargetMode="External"/><Relationship Id="rId737" Type="http://schemas.openxmlformats.org/officeDocument/2006/relationships/hyperlink" Target="http://omp.ufgd.edu.br/omp/index.php/livrosabertos/catalog/view/168/177/458-1" TargetMode="External"/><Relationship Id="rId736" Type="http://schemas.openxmlformats.org/officeDocument/2006/relationships/hyperlink" Target="https://www.ufpi.br/arquivos_download/arquivos/EDUFPI/plurais_e_desiguais_completo20190607152046.pdf" TargetMode="External"/><Relationship Id="rId735" Type="http://schemas.openxmlformats.org/officeDocument/2006/relationships/hyperlink" Target="http://omp.ufgd.edu.br/omp/index.php/livrosabertos/catalog/view/242/121/399-1" TargetMode="External"/><Relationship Id="rId37" Type="http://schemas.openxmlformats.org/officeDocument/2006/relationships/hyperlink" Target="http://www.uvanet.br/edicoes_uva/gera_xml.php?arquivo=expansao_ensino_superior" TargetMode="External"/><Relationship Id="rId36" Type="http://schemas.openxmlformats.org/officeDocument/2006/relationships/hyperlink" Target="https://repositorio.ufsc.br/handle/123456789/187695" TargetMode="External"/><Relationship Id="rId39" Type="http://schemas.openxmlformats.org/officeDocument/2006/relationships/hyperlink" Target="http://editora.metodista.br/livros-gratis/a-extensao-como-potencial-para-uma-educacao-cidada/at_download/file" TargetMode="External"/><Relationship Id="rId38" Type="http://schemas.openxmlformats.org/officeDocument/2006/relationships/hyperlink" Target="https://www2.unifap.br/editora/files/2018/05/A-experi%c3%aancia-do-professor-ouvinte-de-Matem%c3%a1tica-e-o-compromisso-de-uma-educa%c3%a7%c3%a3o-respons%c3%a1vel-para-alunos-surdos.pdf" TargetMode="External"/><Relationship Id="rId730" Type="http://schemas.openxmlformats.org/officeDocument/2006/relationships/hyperlink" Target="http://portal.unemat.br/media/files/Editora/livro_pibid1_versao_final_v2.pdf" TargetMode="External"/><Relationship Id="rId20" Type="http://schemas.openxmlformats.org/officeDocument/2006/relationships/hyperlink" Target="https://www.eduerj.com/eng/?product=a-demanda-por-deuses-globalizacao-fluxos-religiosos-e-culturas-locais-nos-dois-lados-do-atlantico-ebook" TargetMode="External"/><Relationship Id="rId22" Type="http://schemas.openxmlformats.org/officeDocument/2006/relationships/hyperlink" Target="http://www.uvanet.br/edicoes_uva/gera_xml.php?arquivo=aditadura_civil_militar" TargetMode="External"/><Relationship Id="rId21" Type="http://schemas.openxmlformats.org/officeDocument/2006/relationships/hyperlink" Target="http://www.edufu.ufu.br/sites/edufu.ufu.br/files/e-book_a_didatica_v7_2015_0.pdf" TargetMode="External"/><Relationship Id="rId24" Type="http://schemas.openxmlformats.org/officeDocument/2006/relationships/hyperlink" Target="https://hdl.handle.net/1884/67108" TargetMode="External"/><Relationship Id="rId23" Type="http://schemas.openxmlformats.org/officeDocument/2006/relationships/hyperlink" Target="https://www.editora.ufop.br/index.php/editora/catalog/view/170/132/440-1" TargetMode="External"/><Relationship Id="rId525" Type="http://schemas.openxmlformats.org/officeDocument/2006/relationships/hyperlink" Target="http://www.eduff.uff.br/ebooks/Historias-do-pos-abolicao-no-mundo-atlantico-v3.pdf" TargetMode="External"/><Relationship Id="rId767" Type="http://schemas.openxmlformats.org/officeDocument/2006/relationships/hyperlink" Target="http://books.scielo.org/id/dpg28/pdf/ribetto-9788575115022.pdf" TargetMode="External"/><Relationship Id="rId524" Type="http://schemas.openxmlformats.org/officeDocument/2006/relationships/hyperlink" Target="http://www.eduff.uff.br/ebooks/Historias-do-pos-abolicao-no-mundo-atlantico-v2.pdf" TargetMode="External"/><Relationship Id="rId766" Type="http://schemas.openxmlformats.org/officeDocument/2006/relationships/hyperlink" Target="https://www.eduerj.com/eng/?product=professores-formados-na-ffp-uerj-e-inclusao-entre-politicas-praticas-e-poeticas" TargetMode="External"/><Relationship Id="rId523" Type="http://schemas.openxmlformats.org/officeDocument/2006/relationships/hyperlink" Target="http://www.eduff.uff.br/ebooks/Historias-do-pos-abolicao-no-mundo-atlantico.pdf" TargetMode="External"/><Relationship Id="rId765" Type="http://schemas.openxmlformats.org/officeDocument/2006/relationships/hyperlink" Target="http://www.editora.puc-rio.br/media/Professor,%20ensino%20m%C3%A9dio%20e%20juventude.pdf" TargetMode="External"/><Relationship Id="rId522" Type="http://schemas.openxmlformats.org/officeDocument/2006/relationships/hyperlink" Target="http://www.eduff.uff.br/index.php/livros/183-historias-de-vida-experiencias-com-historia-oral" TargetMode="External"/><Relationship Id="rId764" Type="http://schemas.openxmlformats.org/officeDocument/2006/relationships/hyperlink" Target="http://www.editora.ufpb.br/sistema/press5/index.php/UFPB/catalog/book/108" TargetMode="External"/><Relationship Id="rId529" Type="http://schemas.openxmlformats.org/officeDocument/2006/relationships/hyperlink" Target="https://www.eduerj.com/eng/?product=hoje-acordei-pra-luta-intelectuais-pela-universidade-publica" TargetMode="External"/><Relationship Id="rId528" Type="http://schemas.openxmlformats.org/officeDocument/2006/relationships/hyperlink" Target="http://omp.ufgd.edu.br/omp/index.php/livrosabertos/catalog/view/257/253/560-1" TargetMode="External"/><Relationship Id="rId527" Type="http://schemas.openxmlformats.org/officeDocument/2006/relationships/hyperlink" Target="http://omp.ufgd.edu.br/omp/index.php/livrosabertos/catalog/view/121/222/503-1" TargetMode="External"/><Relationship Id="rId769" Type="http://schemas.openxmlformats.org/officeDocument/2006/relationships/hyperlink" Target="http://hdl.handle.net/10183/199088" TargetMode="External"/><Relationship Id="rId526" Type="http://schemas.openxmlformats.org/officeDocument/2006/relationships/hyperlink" Target="http://www.uesc.br/editora/livrosdigitais_20170620/histememo_insp.pdf" TargetMode="External"/><Relationship Id="rId768" Type="http://schemas.openxmlformats.org/officeDocument/2006/relationships/hyperlink" Target="http://omp.ufgd.edu.br/omp/index.php/livrosabertos/catalog/view/244/119/397-1" TargetMode="External"/><Relationship Id="rId26" Type="http://schemas.openxmlformats.org/officeDocument/2006/relationships/hyperlink" Target="http://eduepb.uepb.edu.br/download/educacao-como-direito-fundamental/?wpdmdl=1061&amp;" TargetMode="External"/><Relationship Id="rId25" Type="http://schemas.openxmlformats.org/officeDocument/2006/relationships/hyperlink" Target="http://www.uesc.br/editora/livrosdigitais2015/a_educacao_revisitada.pdf" TargetMode="External"/><Relationship Id="rId28" Type="http://schemas.openxmlformats.org/officeDocument/2006/relationships/hyperlink" Target="http://repositorio.ufes.br/bitstream/10/802/1/livro%20edufes%20Educa%C3%A7%C3%A3o%20inclusiva%20de%20crian%C3%A7as%2C%20adolescentes%2C%20jovens%20e%20adultos%20avan%C3%A7os%20e%20desafios.pdf" TargetMode="External"/><Relationship Id="rId27" Type="http://schemas.openxmlformats.org/officeDocument/2006/relationships/hyperlink" Target="http://www.uesc.br/editora/livrosdigitais/edu_itabuna.pdf" TargetMode="External"/><Relationship Id="rId521" Type="http://schemas.openxmlformats.org/officeDocument/2006/relationships/hyperlink" Target="http://books.scielo.org/id/f6qxr/pdf/braganca-9788575114698.pdf" TargetMode="External"/><Relationship Id="rId763" Type="http://schemas.openxmlformats.org/officeDocument/2006/relationships/hyperlink" Target="http://www.eduff.uff.br/ebooks/Translatio-Studii.pdf" TargetMode="External"/><Relationship Id="rId29" Type="http://schemas.openxmlformats.org/officeDocument/2006/relationships/hyperlink" Target="http://www.uesc.br/editora/livrosdigitais2015/a_educacao_pelo_silencio.pdf" TargetMode="External"/><Relationship Id="rId520" Type="http://schemas.openxmlformats.org/officeDocument/2006/relationships/hyperlink" Target="https://www.editora.ufop.br/index.php/editora/catalog/view/153/122/400-1" TargetMode="External"/><Relationship Id="rId762" Type="http://schemas.openxmlformats.org/officeDocument/2006/relationships/hyperlink" Target="http://repositorio.unesc.net/handle/1/4025" TargetMode="External"/><Relationship Id="rId761" Type="http://schemas.openxmlformats.org/officeDocument/2006/relationships/hyperlink" Target="http://www.dropbox.com/s/7ak02t9ns1779hb/Livro_Predio_da_Reitoria.pdf" TargetMode="External"/><Relationship Id="rId760" Type="http://schemas.openxmlformats.org/officeDocument/2006/relationships/hyperlink" Target="http://www.editora.puc-rio.br/media/Precariedade%20e%20resistencia.pdf" TargetMode="External"/><Relationship Id="rId11" Type="http://schemas.openxmlformats.org/officeDocument/2006/relationships/hyperlink" Target="http://www.uesc.br/editora/livrosdigitais2018/cidad-pers-velh.pdf" TargetMode="External"/><Relationship Id="rId10" Type="http://schemas.openxmlformats.org/officeDocument/2006/relationships/hyperlink" Target="http://www.uesc.br/editora/livrosdigitais_20141023/acasadevicente.pdf" TargetMode="External"/><Relationship Id="rId13" Type="http://schemas.openxmlformats.org/officeDocument/2006/relationships/hyperlink" Target="http://www.uesc.br/editora/livrosdigitais2015/a_cidade_em_tela.pdf" TargetMode="External"/><Relationship Id="rId12" Type="http://schemas.openxmlformats.org/officeDocument/2006/relationships/hyperlink" Target="http://omp.ufgd.edu.br/omp/index.php/livrosabertos/catalog/view/7/5/24-1" TargetMode="External"/><Relationship Id="rId519" Type="http://schemas.openxmlformats.org/officeDocument/2006/relationships/hyperlink" Target="http://www.editora.ufpb.br/sistema/press5/index.php/UFPB/catalog/book/327" TargetMode="External"/><Relationship Id="rId514" Type="http://schemas.openxmlformats.org/officeDocument/2006/relationships/hyperlink" Target="http://www.editora.puc-rio.br/media/Historia_intelectual_ebooka.pdf" TargetMode="External"/><Relationship Id="rId756" Type="http://schemas.openxmlformats.org/officeDocument/2006/relationships/hyperlink" Target="http://repositorio.unesc.net/handle/1/5136" TargetMode="External"/><Relationship Id="rId513" Type="http://schemas.openxmlformats.org/officeDocument/2006/relationships/hyperlink" Target="http://cdn.ueg.edu.br/source/editora_ueg/conteudo_compartilhado/11009/ebook_historia_fetichista.pdf" TargetMode="External"/><Relationship Id="rId755" Type="http://schemas.openxmlformats.org/officeDocument/2006/relationships/hyperlink" Target="http://omp.ufgd.edu.br/omp/index.php/livrosabertos/catalog/view/172/233/515-1" TargetMode="External"/><Relationship Id="rId512" Type="http://schemas.openxmlformats.org/officeDocument/2006/relationships/hyperlink" Target="http://www.uesc.br/editora/livrosdigitais2015/historia_e_providencia.pdf" TargetMode="External"/><Relationship Id="rId754" Type="http://schemas.openxmlformats.org/officeDocument/2006/relationships/hyperlink" Target="http://bit.ly/Posso-ler-posso-pensar" TargetMode="External"/><Relationship Id="rId511" Type="http://schemas.openxmlformats.org/officeDocument/2006/relationships/hyperlink" Target="http://www.unemat.br/reitoria/editora/downloads/eletronico/historia_memoria_caceres.pdf" TargetMode="External"/><Relationship Id="rId753" Type="http://schemas.openxmlformats.org/officeDocument/2006/relationships/hyperlink" Target="http://www.uesc.br/editora/livrosdigitais/portoecidades.pdf" TargetMode="External"/><Relationship Id="rId518" Type="http://schemas.openxmlformats.org/officeDocument/2006/relationships/hyperlink" Target="http://www.uvanet.br/edicoes_uva/gera_xml.php?arquivo=historiando_camocim_manual_professor" TargetMode="External"/><Relationship Id="rId517" Type="http://schemas.openxmlformats.org/officeDocument/2006/relationships/hyperlink" Target="http://www.uvanet.br/edicoes_uva/gera_xml.php?arquivo=historiando_camocim" TargetMode="External"/><Relationship Id="rId759" Type="http://schemas.openxmlformats.org/officeDocument/2006/relationships/hyperlink" Target="http://eduepb.uepb.edu.br/download/praticas-geograficas-experiencias-de-pesquisa-e-ensino-de-geografia-no-estado-da-paraiba/?wpdmdl=214&amp;amp;masterkey=5af9a06a1c617" TargetMode="External"/><Relationship Id="rId516" Type="http://schemas.openxmlformats.org/officeDocument/2006/relationships/hyperlink" Target="https://www.editora.ufop.br/index.php/editora/catalog/view/41/28/95-1" TargetMode="External"/><Relationship Id="rId758" Type="http://schemas.openxmlformats.org/officeDocument/2006/relationships/hyperlink" Target="https://www.ufpi.br/arquivos_download/arquivos/VOLUME_1220200624122002.pdf" TargetMode="External"/><Relationship Id="rId515" Type="http://schemas.openxmlformats.org/officeDocument/2006/relationships/hyperlink" Target="http://www.editora.ufpb.br/sistema/press5/index.php/UFPB/catalog/book/386" TargetMode="External"/><Relationship Id="rId757" Type="http://schemas.openxmlformats.org/officeDocument/2006/relationships/hyperlink" Target="https://www.ufpi.br/arquivos_download/arquivos/VOLUME_1120200624121508.pdf" TargetMode="External"/><Relationship Id="rId15" Type="http://schemas.openxmlformats.org/officeDocument/2006/relationships/hyperlink" Target="http://www.editora.puc-rio.br/media/a%20constru%C3%A7%C3%A3o%20da%20identidade%20miolo.pdf" TargetMode="External"/><Relationship Id="rId14" Type="http://schemas.openxmlformats.org/officeDocument/2006/relationships/hyperlink" Target="https://www.editora.ufop.br/index.php/editora/catalog/view/10/2/144-1" TargetMode="External"/><Relationship Id="rId17" Type="http://schemas.openxmlformats.org/officeDocument/2006/relationships/hyperlink" Target="http://repositorio.ufpel.edu.br:8080/bitstream/prefix/3805/1/12_A%20CONSTRU%c3%87%c3%83O%20HIST%c3%93RICA%20NA%20GRAPHIC%20NOVEL%20V%20FOR%20VENDETTA%20_S%c3%89RIE%20P%c3%93S%20GRADUA%c3%87%c3%83O.pdf" TargetMode="External"/><Relationship Id="rId16" Type="http://schemas.openxmlformats.org/officeDocument/2006/relationships/hyperlink" Target="http://omp.ufgd.edu.br/omp/index.php/livrosabertos/catalog/view/8/6/27-1" TargetMode="External"/><Relationship Id="rId19" Type="http://schemas.openxmlformats.org/officeDocument/2006/relationships/hyperlink" Target="https://www.ufcspa.edu.br/editora_log/download.php?cod=001&amp;tipo=pdf" TargetMode="External"/><Relationship Id="rId510" Type="http://schemas.openxmlformats.org/officeDocument/2006/relationships/hyperlink" Target="http://www.unemat.br/reitoria/editora/downloads/eletronico/historia_e_fronteira.pdf" TargetMode="External"/><Relationship Id="rId752" Type="http://schemas.openxmlformats.org/officeDocument/2006/relationships/hyperlink" Target="http://www.uems.br/assets/uploads/editora/arquivos/1_2016-09-02_09-46-43.pdf" TargetMode="External"/><Relationship Id="rId18" Type="http://schemas.openxmlformats.org/officeDocument/2006/relationships/hyperlink" Target="http://omp.ufgd.edu.br/omp/index.php/livrosabertos/catalog/view/9/7/31-1" TargetMode="External"/><Relationship Id="rId751" Type="http://schemas.openxmlformats.org/officeDocument/2006/relationships/hyperlink" Target="http://repositorio.ufes.br/handle/10/1902" TargetMode="External"/><Relationship Id="rId750" Type="http://schemas.openxmlformats.org/officeDocument/2006/relationships/hyperlink" Target="http://repositorio.ufes.br/bitstream/10/790/1/livro%20edufes%20politicas%2C%20praticas%20pedagogicas%20e%20formacao%20dispositivos%20para%20a%20escolariza%C3%A7%C3%A3o%20de%20alunos%28as%29%20com%20defici%C3%AAncia.pdf" TargetMode="External"/><Relationship Id="rId84" Type="http://schemas.openxmlformats.org/officeDocument/2006/relationships/hyperlink" Target="http://www2.ufac.br/editora/livros/a-universidade-e-o-principio-da-indissociabilidade-entre-ensino.pdf" TargetMode="External"/><Relationship Id="rId83" Type="http://schemas.openxmlformats.org/officeDocument/2006/relationships/hyperlink" Target="http://guaiaca.ufpel.edu.br/bitstream/prefix/4443/3/A%20universidade%20do%20encontro%20e%20da%20inclus%c3%a3o%20-%20para%20troca%20no%20reposit%c3%b3rio.pdf" TargetMode="External"/><Relationship Id="rId86" Type="http://schemas.openxmlformats.org/officeDocument/2006/relationships/hyperlink" Target="https://www.eduerj.com/eng/?product=a-vida-na-voz-midia-idolatria-e-consumo-de-biografias-ebook" TargetMode="External"/><Relationship Id="rId85" Type="http://schemas.openxmlformats.org/officeDocument/2006/relationships/hyperlink" Target="https://hdl.handle.net/1884/66950" TargetMode="External"/><Relationship Id="rId88" Type="http://schemas.openxmlformats.org/officeDocument/2006/relationships/hyperlink" Target="https://www.editora.ufop.br/index.php/editora/catalog/view/19/9/36-1" TargetMode="External"/><Relationship Id="rId87" Type="http://schemas.openxmlformats.org/officeDocument/2006/relationships/hyperlink" Target="http://www.uesc.br/editora/livrosdigitais2015/a_violeta_grapiuna.pdf" TargetMode="External"/><Relationship Id="rId89" Type="http://schemas.openxmlformats.org/officeDocument/2006/relationships/hyperlink" Target="http://www.editora.puc-rio.br/media/ebook%20acao%20afirmativa%20puc%20rio.pdf" TargetMode="External"/><Relationship Id="rId709" Type="http://schemas.openxmlformats.org/officeDocument/2006/relationships/hyperlink" Target="http://www.uesc.br/editora/livrosdigitais2017/pequeno_manual_anarquista.pdf" TargetMode="External"/><Relationship Id="rId708" Type="http://schemas.openxmlformats.org/officeDocument/2006/relationships/hyperlink" Target="https://drive.google.com/file/d/19pCefBvNfm9YbcA7s34ckGeeUQR9Ujs-/view?usp=sharing" TargetMode="External"/><Relationship Id="rId707" Type="http://schemas.openxmlformats.org/officeDocument/2006/relationships/hyperlink" Target="http://repositorio.ufba.br/ri/handle/ri/26531" TargetMode="External"/><Relationship Id="rId706" Type="http://schemas.openxmlformats.org/officeDocument/2006/relationships/hyperlink" Target="http://dx.doi.org/10.18616/pcdma" TargetMode="External"/><Relationship Id="rId80" Type="http://schemas.openxmlformats.org/officeDocument/2006/relationships/hyperlink" Target="http://omp.ufgd.edu.br/omp/index.php/livrosabertos/catalog/view/328/259/2479-1" TargetMode="External"/><Relationship Id="rId82" Type="http://schemas.openxmlformats.org/officeDocument/2006/relationships/hyperlink" Target="http://www.eduff.uff.br/index.php/catalogo/8-catalogo/livros/518-a-uniao-dos-trabalhadores-favelados-e-a-luta-contra-o-controle-negociado-das-favelas-cariocas-1954-1965" TargetMode="External"/><Relationship Id="rId81" Type="http://schemas.openxmlformats.org/officeDocument/2006/relationships/hyperlink" Target="http://www.editora.ufrj.br/DynamicItems/livrosabertos-1/a-UNE-em-tempos-de-autoritarismo.pdf" TargetMode="External"/><Relationship Id="rId701" Type="http://schemas.openxmlformats.org/officeDocument/2006/relationships/hyperlink" Target="http://campomourao.unespar.edu.br/editora/obras-digitais/paisagens-francesas-terroirs-cidades-e-litorais" TargetMode="External"/><Relationship Id="rId700" Type="http://schemas.openxmlformats.org/officeDocument/2006/relationships/hyperlink" Target="http://www.editora.puc-rio.br/media/Paisagens_do_sertao_carioca%20(1).pdf" TargetMode="External"/><Relationship Id="rId705" Type="http://schemas.openxmlformats.org/officeDocument/2006/relationships/hyperlink" Target="http://repositorio.ufes.br/bitstream/10/1230/1/Livro%20edufes%20Participa%C3%A7%C3%A3o%20popular%20na%20elabora%C3%A7%C3%A3o%20de%20or%C3%A7amentos%20p%C3%BAblicos%20municipais%20a%20experi%C3%AAncia%20do%20Esp%C3%ADrito%20Santo%2C%201983%20a%201994.pdf" TargetMode="External"/><Relationship Id="rId704" Type="http://schemas.openxmlformats.org/officeDocument/2006/relationships/hyperlink" Target="http://www.uesc.br/editora/livrosdigitais2017/particpacao_cooperativas_associacoes.pdf" TargetMode="External"/><Relationship Id="rId703" Type="http://schemas.openxmlformats.org/officeDocument/2006/relationships/hyperlink" Target="http://repositorio.ufes.br/bitstream/10/818/1/livro%20edufes%20Paradoxos%20do%20progresso%20a%20dial%C3%A9tica%20da%20rela%C3%A7%C3%A3o%20mulher%2C%20casamento%20e%20trabalho.pdf" TargetMode="External"/><Relationship Id="rId702" Type="http://schemas.openxmlformats.org/officeDocument/2006/relationships/hyperlink" Target="http://eduepb.uepb.edu.br/download/para-alem-da-pedra-e-cal/?wpdmdl=206&amp;amp;masterkey=5af99f895121f" TargetMode="External"/><Relationship Id="rId73" Type="http://schemas.openxmlformats.org/officeDocument/2006/relationships/hyperlink" Target="http://www.uems.br/assets/uploads/editora/arquivos/1_2016-11-04_13-50-24.pdf" TargetMode="External"/><Relationship Id="rId72" Type="http://schemas.openxmlformats.org/officeDocument/2006/relationships/hyperlink" Target="https://www.ufpi.br/arquivos_download/arquivos/LIVRO_A_RELIGIAO20200806142605.pdf" TargetMode="External"/><Relationship Id="rId75" Type="http://schemas.openxmlformats.org/officeDocument/2006/relationships/hyperlink" Target="http://omp.ufgd.edu.br/omp/index.php/livrosabertos/catalog/view/29/40/111-1" TargetMode="External"/><Relationship Id="rId74" Type="http://schemas.openxmlformats.org/officeDocument/2006/relationships/hyperlink" Target="https://drive.google.com/file/d/1RNMxfIXigmaN8M6rf4_6ILTtv3BqDzuV/view" TargetMode="External"/><Relationship Id="rId77" Type="http://schemas.openxmlformats.org/officeDocument/2006/relationships/hyperlink" Target="http://repositorio.ufba.br/ri/handle/ri/17849" TargetMode="External"/><Relationship Id="rId76" Type="http://schemas.openxmlformats.org/officeDocument/2006/relationships/hyperlink" Target="http://omp.ufgd.edu.br/omp/index.php/livrosabertos/catalog/view/30/39/109-1" TargetMode="External"/><Relationship Id="rId79" Type="http://schemas.openxmlformats.org/officeDocument/2006/relationships/hyperlink" Target="https://www.eduerj.com/eng/?product=a-travessia-dificil-notas-sobre-o-etico-o-tecnico-e-o-estetico-na-crise-da-modernidade-2" TargetMode="External"/><Relationship Id="rId78" Type="http://schemas.openxmlformats.org/officeDocument/2006/relationships/hyperlink" Target="http://eduepb.uepb.edu.br/download/a-tradicao-da-civilidade-nos-livros-de-leitura-no-imperio-e-na-primeira-republica/?wpdmdl=163&amp;amp;masterkey=5af9969f0558c" TargetMode="External"/><Relationship Id="rId71" Type="http://schemas.openxmlformats.org/officeDocument/2006/relationships/hyperlink" Target="http://www.uesc.br/editora/livrosdigitais/a_regiao_cacaueira_da_bahia.pdf" TargetMode="External"/><Relationship Id="rId70" Type="http://schemas.openxmlformats.org/officeDocument/2006/relationships/hyperlink" Target="https://editora.ifg.edu.br/editoraifg/catalog/view/13/12/34-2" TargetMode="External"/><Relationship Id="rId62" Type="http://schemas.openxmlformats.org/officeDocument/2006/relationships/hyperlink" Target="http://repositorio.ufes.br/handle/10/5579" TargetMode="External"/><Relationship Id="rId61" Type="http://schemas.openxmlformats.org/officeDocument/2006/relationships/hyperlink" Target="https://editora.ifg.edu.br/editoraifg/catalog/view/23/19/66-5" TargetMode="External"/><Relationship Id="rId64" Type="http://schemas.openxmlformats.org/officeDocument/2006/relationships/hyperlink" Target="http://www.eduff.uff.br/ebooks/A-qualidade-de-vida-no-Estado-do-Rio-de-Janeiro.pdf" TargetMode="External"/><Relationship Id="rId63" Type="http://schemas.openxmlformats.org/officeDocument/2006/relationships/hyperlink" Target="http://www.eduff.uff.br/ebooks/A-predacao-do-social.pdf" TargetMode="External"/><Relationship Id="rId66" Type="http://schemas.openxmlformats.org/officeDocument/2006/relationships/hyperlink" Target="http://omp.ufgd.edu.br/omp/index.php/livrosabertos/catalog/view/28/41/112-1" TargetMode="External"/><Relationship Id="rId65" Type="http://schemas.openxmlformats.org/officeDocument/2006/relationships/hyperlink" Target="http://repositorio.ufes.br/bitstream/10/825/1/livro%20edufes%20A%20quest%C3%A3o%20social%20e%20as%20pol%C3%ADticas%20sociais%20no%20contexto%20latino-americano.pdf" TargetMode="External"/><Relationship Id="rId68" Type="http://schemas.openxmlformats.org/officeDocument/2006/relationships/hyperlink" Target="https://www.editora.ufop.br/index.php/editora/catalog/view/34/22/78-1" TargetMode="External"/><Relationship Id="rId67" Type="http://schemas.openxmlformats.org/officeDocument/2006/relationships/hyperlink" Target="http://www.editora.ufrj.br/DynamicItems/livrosabertos-1/a-UNE-em-tempos-de-autoritarismo.pdf" TargetMode="External"/><Relationship Id="rId729" Type="http://schemas.openxmlformats.org/officeDocument/2006/relationships/hyperlink" Target="http://portal.unemat.br/media/files/Editora/livro_pibid2_versao_final_v2.pdf" TargetMode="External"/><Relationship Id="rId728" Type="http://schemas.openxmlformats.org/officeDocument/2006/relationships/hyperlink" Target="http://ufrr.br/editora/index.php/editais?download=417" TargetMode="External"/><Relationship Id="rId60" Type="http://schemas.openxmlformats.org/officeDocument/2006/relationships/hyperlink" Target="https://www2.unifap.br/editora/files/2014/12/Livro-A-partilha-dos-royalties-petrol%c3%adferos-do-pr%c3%a9-sal-no-federalismo-brasileiro.pdf" TargetMode="External"/><Relationship Id="rId723" Type="http://schemas.openxmlformats.org/officeDocument/2006/relationships/hyperlink" Target="http://books.scielo.org/id/hvsdh/pdf/marafon-9788575114438.pdf" TargetMode="External"/><Relationship Id="rId722" Type="http://schemas.openxmlformats.org/officeDocument/2006/relationships/hyperlink" Target="https://www.editoraargos.com.br/farol/editoraargos/ebook/pesquisa-na-pos-graduacao-em-educacao-novos-horizontes/729095/" TargetMode="External"/><Relationship Id="rId721" Type="http://schemas.openxmlformats.org/officeDocument/2006/relationships/hyperlink" Target="http://bit.ly/Pesquisas-em-educacao-3" TargetMode="External"/><Relationship Id="rId720" Type="http://schemas.openxmlformats.org/officeDocument/2006/relationships/hyperlink" Target="https://www2.unifap.br/editora/files/2019/03/Pesquisa-em-ciencias-humanas-e-sociais.pdf" TargetMode="External"/><Relationship Id="rId727" Type="http://schemas.openxmlformats.org/officeDocument/2006/relationships/hyperlink" Target="http://www.editora.ufpb.br/sistema/press5/index.php/UFPB/catalog/book/504" TargetMode="External"/><Relationship Id="rId726" Type="http://schemas.openxmlformats.org/officeDocument/2006/relationships/hyperlink" Target="https://editora.ifg.edu.br/editoraifg/catalog/view/22/18/60-1" TargetMode="External"/><Relationship Id="rId725" Type="http://schemas.openxmlformats.org/officeDocument/2006/relationships/hyperlink" Target="http://cdn.ueg.edu.br/source/editora_ueg/conteudo_compartilhado/11010/ebook_pesquisa_acao_e_formacao.pdf" TargetMode="External"/><Relationship Id="rId724" Type="http://schemas.openxmlformats.org/officeDocument/2006/relationships/hyperlink" Target="https://www.eduerj.com/eng/?product=pesquisa-qualitativa-em-geografia-reflexoes-teorico-conceituais-e-aplicadas-ebook" TargetMode="External"/><Relationship Id="rId69" Type="http://schemas.openxmlformats.org/officeDocument/2006/relationships/hyperlink" Target="https://editora.ifg.edu.br/editoraifg/catalog/view/11/10/32-2" TargetMode="External"/><Relationship Id="rId51" Type="http://schemas.openxmlformats.org/officeDocument/2006/relationships/hyperlink" Target="https://hdl.handle.net/1884/67110" TargetMode="External"/><Relationship Id="rId50" Type="http://schemas.openxmlformats.org/officeDocument/2006/relationships/hyperlink" Target="http://omp.ufgd.edu.br/omp/index.php/livrosabertos/catalog/view/14/13/45-1" TargetMode="External"/><Relationship Id="rId53" Type="http://schemas.openxmlformats.org/officeDocument/2006/relationships/hyperlink" Target="http://www.edufu.ufu.br/sites/edufu.ufu.br/files/a_instrucao_publica_2019_edufu.pdf" TargetMode="External"/><Relationship Id="rId52" Type="http://schemas.openxmlformats.org/officeDocument/2006/relationships/hyperlink" Target="https://www2.unifap.br/editora/files/2019/07/a-influencia-narratologica-enoqueana.pdf" TargetMode="External"/><Relationship Id="rId55" Type="http://schemas.openxmlformats.org/officeDocument/2006/relationships/hyperlink" Target="http://www.uesc.br/editora/livrosdigitais2015/a_memoria_do_feminino.pdf" TargetMode="External"/><Relationship Id="rId54" Type="http://schemas.openxmlformats.org/officeDocument/2006/relationships/hyperlink" Target="http://www2.ufac.br/editora/livros/Alutapelaterra_PUBLICACAO.pdf" TargetMode="External"/><Relationship Id="rId57" Type="http://schemas.openxmlformats.org/officeDocument/2006/relationships/hyperlink" Target="https://bit.ly/A-morte-midiatizada" TargetMode="External"/><Relationship Id="rId56" Type="http://schemas.openxmlformats.org/officeDocument/2006/relationships/hyperlink" Target="http://www.uvanet.br/edicoes_uva/gera_xml.php?arquivo=metamorfose_feiras_nordestinas" TargetMode="External"/><Relationship Id="rId719" Type="http://schemas.openxmlformats.org/officeDocument/2006/relationships/hyperlink" Target="http://www.editora.ufpb.br/sistema/press5/index.php/UFPB/catalog/book/229" TargetMode="External"/><Relationship Id="rId718" Type="http://schemas.openxmlformats.org/officeDocument/2006/relationships/hyperlink" Target="http://repositorio.ufes.br/bitstream/10/776/1/livro%20edufes%20Pesquisa%20e%20Educacao%20Especial%20Mapeando%20producoes.pdf" TargetMode="External"/><Relationship Id="rId717" Type="http://schemas.openxmlformats.org/officeDocument/2006/relationships/hyperlink" Target="https://www.eduerj.com/eng/?product=perolas-negras-primeiros-fios-experiencias-artisticas-e-culturais-nos-fluxos-entre-africa-e-brasil-ebook" TargetMode="External"/><Relationship Id="rId712" Type="http://schemas.openxmlformats.org/officeDocument/2006/relationships/hyperlink" Target="http://www.eduff.uff.br/ebooks/O-poder-de-domar-do-fraco.pdf" TargetMode="External"/><Relationship Id="rId711" Type="http://schemas.openxmlformats.org/officeDocument/2006/relationships/hyperlink" Target="http://www2.ufac.br/editora/livros/percursos-de-formacao-de-professores-de-matematica.pdf" TargetMode="External"/><Relationship Id="rId710" Type="http://schemas.openxmlformats.org/officeDocument/2006/relationships/hyperlink" Target="http://eduepb.uepb.edu.br/download/pequenos-ensaios-sobre-grandes-filosofos/?wpdmdl=207&amp;amp;masterkey=5af99fdaed21b" TargetMode="External"/><Relationship Id="rId716" Type="http://schemas.openxmlformats.org/officeDocument/2006/relationships/hyperlink" Target="http://repositorio.ufba.br/ri/handle/ri/16682" TargetMode="External"/><Relationship Id="rId715" Type="http://schemas.openxmlformats.org/officeDocument/2006/relationships/hyperlink" Target="http://repositorio.ufba.br/ri/handle/ri/29765" TargetMode="External"/><Relationship Id="rId714" Type="http://schemas.openxmlformats.org/officeDocument/2006/relationships/hyperlink" Target="https://editora.ifc.edu.br/2020/07/21/percursos-teorico-metodologicos-da-construcao-de-teses-na-area-do-desenvolvimento-regional-da-escolha-das-tematicas-aos-resultados-e-conclusoes/" TargetMode="External"/><Relationship Id="rId713" Type="http://schemas.openxmlformats.org/officeDocument/2006/relationships/hyperlink" Target="http://www.editora.ufrj.br/DynamicItems/livrosabertos-1/soltec1_percursos_na_extensao_universitaria.pdf" TargetMode="External"/><Relationship Id="rId59" Type="http://schemas.openxmlformats.org/officeDocument/2006/relationships/hyperlink" Target="http://www.uvanet.br/edicoes_uva/gera_xml.php?arquivo=anostalgia_apitos" TargetMode="External"/><Relationship Id="rId58" Type="http://schemas.openxmlformats.org/officeDocument/2006/relationships/hyperlink" Target="http://dx.doi.org/10.18616/arq" TargetMode="External"/><Relationship Id="rId590" Type="http://schemas.openxmlformats.org/officeDocument/2006/relationships/hyperlink" Target="http://eduepb.uepb.edu.br/download/mais-cultura/?wpdmdl=195&amp;amp;masterkey=5af99c4511480" TargetMode="External"/><Relationship Id="rId107" Type="http://schemas.openxmlformats.org/officeDocument/2006/relationships/hyperlink" Target="http://cdn.ueg.edu.br/source/editora_ueg/conteudo_compartilhado/11004/ebook_anapolis_desafios_ambientais_joana_darc.pdf" TargetMode="External"/><Relationship Id="rId349" Type="http://schemas.openxmlformats.org/officeDocument/2006/relationships/hyperlink" Target="http://editora.ifpb.edu.br/index.php/ifpb/catalog/book/1" TargetMode="External"/><Relationship Id="rId106" Type="http://schemas.openxmlformats.org/officeDocument/2006/relationships/hyperlink" Target="https://www.ufpi.br/arquivos_download/arquivos/E-book_-_ANALISE_DE_DISCURSO_b220190903151716.pdf" TargetMode="External"/><Relationship Id="rId348" Type="http://schemas.openxmlformats.org/officeDocument/2006/relationships/hyperlink" Target="http://omp.ufgd.edu.br/omp/index.php/livrosabertos/catalog/view/90/97/373-1" TargetMode="External"/><Relationship Id="rId105" Type="http://schemas.openxmlformats.org/officeDocument/2006/relationships/hyperlink" Target="http://hdl.handle.net/10183/180968" TargetMode="External"/><Relationship Id="rId347" Type="http://schemas.openxmlformats.org/officeDocument/2006/relationships/hyperlink" Target="http://repositorio.ufes.br/handle/10/1415" TargetMode="External"/><Relationship Id="rId589" Type="http://schemas.openxmlformats.org/officeDocument/2006/relationships/hyperlink" Target="http://www2.ufac.br/editora/livros/luzes-camera-palavras.pdf" TargetMode="External"/><Relationship Id="rId104" Type="http://schemas.openxmlformats.org/officeDocument/2006/relationships/hyperlink" Target="http://omp.ufgd.edu.br/omp/index.php/livrosabertos/catalog/view/31/37/108-1" TargetMode="External"/><Relationship Id="rId346" Type="http://schemas.openxmlformats.org/officeDocument/2006/relationships/hyperlink" Target="https://www.ufpi.br/arquivos_download/arquivos/Capa_Livro_Online_-_final_120200123144831.pdf" TargetMode="External"/><Relationship Id="rId588" Type="http://schemas.openxmlformats.org/officeDocument/2006/relationships/hyperlink" Target="https://www.editora.ufop.br/index.php/editora/catalog/view/44/30/102-1" TargetMode="External"/><Relationship Id="rId109" Type="http://schemas.openxmlformats.org/officeDocument/2006/relationships/hyperlink" Target="http://editora.metodista.br/livros-gratis/Antigos%20e%20Novos%20Paradigmas.pdf/at_download/file" TargetMode="External"/><Relationship Id="rId108" Type="http://schemas.openxmlformats.org/officeDocument/2006/relationships/hyperlink" Target="http://www.eduff.uff.br/ebooks/Angra-I-e-a-melancolia-de-uma-era.pdf" TargetMode="External"/><Relationship Id="rId341" Type="http://schemas.openxmlformats.org/officeDocument/2006/relationships/hyperlink" Target="https://portal-archipelagus.azurewebsites.net/farol/eduepg/ebook/educacao-em-direitos-humanos-historia-epistemologia-e-praticas-pedagogicas/1014478/" TargetMode="External"/><Relationship Id="rId583" Type="http://schemas.openxmlformats.org/officeDocument/2006/relationships/hyperlink" Target="https://drive.google.com/file/d/1HAHNkYEXffVTB9pLfyoxORhDpTjFHPyy/view" TargetMode="External"/><Relationship Id="rId340" Type="http://schemas.openxmlformats.org/officeDocument/2006/relationships/hyperlink" Target="http://hdl.handle.net/10183/183493" TargetMode="External"/><Relationship Id="rId582" Type="http://schemas.openxmlformats.org/officeDocument/2006/relationships/hyperlink" Target="http://repositorio.unesc.net/handle/1/5936" TargetMode="External"/><Relationship Id="rId581" Type="http://schemas.openxmlformats.org/officeDocument/2006/relationships/hyperlink" Target="http://www.edufu.ufu.br/sites/edufu.ufu.br/files/e-book_lingua_brasileira_de_sinais_v3_2016_0.pdf" TargetMode="External"/><Relationship Id="rId580" Type="http://schemas.openxmlformats.org/officeDocument/2006/relationships/hyperlink" Target="http://www.editora.ufpb.br/sistema/press5/index.php/UFPB/catalog/book/483" TargetMode="External"/><Relationship Id="rId103" Type="http://schemas.openxmlformats.org/officeDocument/2006/relationships/hyperlink" Target="http://repositorio.ufes.br/bitstream/10/1138/1/Livro%20Edufes%20Alfabetiza%C3%A7%C3%A3o%20no%20Esp%C3%ADrito%20Santo.pdf" TargetMode="External"/><Relationship Id="rId345" Type="http://schemas.openxmlformats.org/officeDocument/2006/relationships/hyperlink" Target="https://www.yumpu.com/pt/embed/view/VlfPkHe3tO576TBx" TargetMode="External"/><Relationship Id="rId587" Type="http://schemas.openxmlformats.org/officeDocument/2006/relationships/hyperlink" Target="http://omp.ufgd.edu.br/omp/index.php/livrosabertos/catalog/view/139/204/485-1" TargetMode="External"/><Relationship Id="rId102" Type="http://schemas.openxmlformats.org/officeDocument/2006/relationships/hyperlink" Target="http://www.uesc.br/editora/livrosdigitais2/aguas_do_leste.pdf" TargetMode="External"/><Relationship Id="rId344" Type="http://schemas.openxmlformats.org/officeDocument/2006/relationships/hyperlink" Target="https://paginas.uepa.br/eduepa/wp-content/uploads/2019/06/LIVRO-EDUCA%C3%87%C3%83O-ESPECIAL-31-01-2018.pdf" TargetMode="External"/><Relationship Id="rId586" Type="http://schemas.openxmlformats.org/officeDocument/2006/relationships/hyperlink" Target="http://omp.ufgd.edu.br/omp/index.php/livrosabertos/catalog/view/138/205/486-1" TargetMode="External"/><Relationship Id="rId101" Type="http://schemas.openxmlformats.org/officeDocument/2006/relationships/hyperlink" Target="http://cdn.ueg.edu.br/source/editora_ueg/conteudo_extensao/11249/ebook_2019_agroecologia_diversidade_movimento_resistencia.pdf" TargetMode="External"/><Relationship Id="rId343" Type="http://schemas.openxmlformats.org/officeDocument/2006/relationships/hyperlink" Target="http://www.edufu.ufu.br/sites/edufu.ufu.br/files/e-book_educacao_especial_v1_2011_0.pdf" TargetMode="External"/><Relationship Id="rId585" Type="http://schemas.openxmlformats.org/officeDocument/2006/relationships/hyperlink" Target="http://eduepb.uepb.edu.br/download/literatura-e-os-rastros-do-sagrado-2/?wpdmdl=842&amp;" TargetMode="External"/><Relationship Id="rId100" Type="http://schemas.openxmlformats.org/officeDocument/2006/relationships/hyperlink" Target="http://hdl.handle.net/10183/52807" TargetMode="External"/><Relationship Id="rId342" Type="http://schemas.openxmlformats.org/officeDocument/2006/relationships/hyperlink" Target="http://hdl.handle.net/10183/186154" TargetMode="External"/><Relationship Id="rId584" Type="http://schemas.openxmlformats.org/officeDocument/2006/relationships/hyperlink" Target="https://editora.ifc.edu.br/2019/11/18/literatura-e-filosofia-a-narrativa-de-formacao-presente-nas-tragedias-de-sofocles/" TargetMode="External"/><Relationship Id="rId338" Type="http://schemas.openxmlformats.org/officeDocument/2006/relationships/hyperlink" Target="http://portal.unemat.br/media/files/E-Book_Educacao_e_Tecnologias_digitais-Leandra_Seganfredo-SINOP.pdf" TargetMode="External"/><Relationship Id="rId337" Type="http://schemas.openxmlformats.org/officeDocument/2006/relationships/hyperlink" Target="http://www.uesc.br/editora/livrosdigitais2018/educacao_e_sua_diversidade.pdf" TargetMode="External"/><Relationship Id="rId579" Type="http://schemas.openxmlformats.org/officeDocument/2006/relationships/hyperlink" Target="https://editora.ifg.edu.br/editoraifg/catalog/view/37/21/107-2" TargetMode="External"/><Relationship Id="rId336" Type="http://schemas.openxmlformats.org/officeDocument/2006/relationships/hyperlink" Target="http://anais.uesb.br/index.php/EVE/article/viewFile/9490/9299" TargetMode="External"/><Relationship Id="rId578" Type="http://schemas.openxmlformats.org/officeDocument/2006/relationships/hyperlink" Target="http://www.edufu.ufu.br/sites/edufu.ufu.br/files/e-book_lingua_brasileira_de_sinais_v7_2016_0.pdf" TargetMode="External"/><Relationship Id="rId335" Type="http://schemas.openxmlformats.org/officeDocument/2006/relationships/hyperlink" Target="http://www.editora.ufpb.br/sistema/press5/index.php/UFPB/catalog/book/114" TargetMode="External"/><Relationship Id="rId577" Type="http://schemas.openxmlformats.org/officeDocument/2006/relationships/hyperlink" Target="http://omp.ufgd.edu.br/omp/index.php/livrosabertos/catalog/view/132/211/492-1" TargetMode="External"/><Relationship Id="rId339" Type="http://schemas.openxmlformats.org/officeDocument/2006/relationships/hyperlink" Target="http://www.uesc.br/editora/livrosdigitais2017/educacao_teoria_ator_rede.pdf" TargetMode="External"/><Relationship Id="rId330" Type="http://schemas.openxmlformats.org/officeDocument/2006/relationships/hyperlink" Target="http://www.editora.ufpb.br/sistema/press5/index.php/UFPB/catalog/book/486" TargetMode="External"/><Relationship Id="rId572" Type="http://schemas.openxmlformats.org/officeDocument/2006/relationships/hyperlink" Target="http://www.uesc.br/editora/livrosdigitais_20141023/jaeoscoroneiscacau.pdf" TargetMode="External"/><Relationship Id="rId571" Type="http://schemas.openxmlformats.org/officeDocument/2006/relationships/hyperlink" Target="http://hdl.handle.net/10183/174705" TargetMode="External"/><Relationship Id="rId570" Type="http://schemas.openxmlformats.org/officeDocument/2006/relationships/hyperlink" Target="http://www.editora.ufpb.br/sistema/press5/index.php/UFPB/catalog/book/488" TargetMode="External"/><Relationship Id="rId334" Type="http://schemas.openxmlformats.org/officeDocument/2006/relationships/hyperlink" Target="http://editora.ifpb.edu.br/index.php/ifpb/catalog/book/242" TargetMode="External"/><Relationship Id="rId576" Type="http://schemas.openxmlformats.org/officeDocument/2006/relationships/hyperlink" Target="http://omp.ufgd.edu.br/omp/index.php/livrosabertos/catalog/view/131/212/493-1" TargetMode="External"/><Relationship Id="rId333" Type="http://schemas.openxmlformats.org/officeDocument/2006/relationships/hyperlink" Target="http://editora.ifpb.edu.br/index.php/ifpb/catalog/book/360" TargetMode="External"/><Relationship Id="rId575" Type="http://schemas.openxmlformats.org/officeDocument/2006/relationships/hyperlink" Target="https://www.eduerj.com/eng/?product=leitura-pesquisa-e-ensino-ebook" TargetMode="External"/><Relationship Id="rId332" Type="http://schemas.openxmlformats.org/officeDocument/2006/relationships/hyperlink" Target="http://omp.ufgd.edu.br/omp/index.php/livrosabertos/catalog/view/87/94/355-1" TargetMode="External"/><Relationship Id="rId574" Type="http://schemas.openxmlformats.org/officeDocument/2006/relationships/hyperlink" Target="http://omp.ufgd.edu.br/omp/index.php/livrosabertos/catalog/view/130/213/494-1" TargetMode="External"/><Relationship Id="rId331" Type="http://schemas.openxmlformats.org/officeDocument/2006/relationships/hyperlink" Target="http://omp.ufgd.edu.br/omp/index.php/livrosabertos/catalog/view/88/95/360-1" TargetMode="External"/><Relationship Id="rId573" Type="http://schemas.openxmlformats.org/officeDocument/2006/relationships/hyperlink" Target="http://cdn.ueg.edu.br/source/editora_ueg/conteudoN/4946/pdf_colecao_olhares/livro01_ademir_divino.pdf" TargetMode="External"/><Relationship Id="rId370" Type="http://schemas.openxmlformats.org/officeDocument/2006/relationships/hyperlink" Target="http://hdl.handle.net/10183/199999" TargetMode="External"/><Relationship Id="rId129" Type="http://schemas.openxmlformats.org/officeDocument/2006/relationships/hyperlink" Target="http://www.editora.ufpb.br/sistema/press5/index.php/UFPB/catalog/book/479" TargetMode="External"/><Relationship Id="rId128" Type="http://schemas.openxmlformats.org/officeDocument/2006/relationships/hyperlink" Target="https://www.eduerj.com/eng/?product=artes-de-civilizar-medicina-higiene-e-educacao-escolar-na-corte-imperial" TargetMode="External"/><Relationship Id="rId127" Type="http://schemas.openxmlformats.org/officeDocument/2006/relationships/hyperlink" Target="http://www.editora.puc-rio.br/media/ebookartenatureza.pdf" TargetMode="External"/><Relationship Id="rId369" Type="http://schemas.openxmlformats.org/officeDocument/2006/relationships/hyperlink" Target="https://www.editora.ufop.br/index.php/editora/catalog/view/16/6/27-1" TargetMode="External"/><Relationship Id="rId126" Type="http://schemas.openxmlformats.org/officeDocument/2006/relationships/hyperlink" Target="http://www.casaruibarbosa.gov.br/arquivos/file/Arquivos%20pessoais%20e%20cultura%20OCR.pdf" TargetMode="External"/><Relationship Id="rId368" Type="http://schemas.openxmlformats.org/officeDocument/2006/relationships/hyperlink" Target="https://editora.ifg.edu.br/editoraifg/catalog/view/19/15/51-1" TargetMode="External"/><Relationship Id="rId121" Type="http://schemas.openxmlformats.org/officeDocument/2006/relationships/hyperlink" Target="http://omp.ufgd.edu.br/omp/index.php/livrosabertos/catalog/view/3/45/118-2" TargetMode="External"/><Relationship Id="rId363" Type="http://schemas.openxmlformats.org/officeDocument/2006/relationships/hyperlink" Target="https://www.editora.ufop.br/index.php/editora/catalog/view/139/112/366-1" TargetMode="External"/><Relationship Id="rId120" Type="http://schemas.openxmlformats.org/officeDocument/2006/relationships/hyperlink" Target="http://omp.ufgd.edu.br/omp/index.php/livrosabertos/catalog/view/35/24/83-1" TargetMode="External"/><Relationship Id="rId362" Type="http://schemas.openxmlformats.org/officeDocument/2006/relationships/hyperlink" Target="http://www.eduff.uff.br/ebooks/Em-busca-da-boa-sociedade.pdf" TargetMode="External"/><Relationship Id="rId361" Type="http://schemas.openxmlformats.org/officeDocument/2006/relationships/hyperlink" Target="https://www.eduerj.com/eng/?product=eleicoes-opiniao-publica-e-comunicacao-politica-no-brasil-contemporaneo-homenagem-a-marcus-figueiredo-ebook" TargetMode="External"/><Relationship Id="rId360" Type="http://schemas.openxmlformats.org/officeDocument/2006/relationships/hyperlink" Target="http://www.editora.ufpb.br/sistema/press5/index.php/UFPB/catalog/book/139" TargetMode="External"/><Relationship Id="rId125" Type="http://schemas.openxmlformats.org/officeDocument/2006/relationships/hyperlink" Target="https://bit.ly/Arquivologia-biblioteconomia-e-ciencia-da-informacao-2" TargetMode="External"/><Relationship Id="rId367" Type="http://schemas.openxmlformats.org/officeDocument/2006/relationships/hyperlink" Target="http://www.editora.puc-rio.br/media/Encontros%20com%20Mo%C3%A7ambique%20(e-book).pdf" TargetMode="External"/><Relationship Id="rId124" Type="http://schemas.openxmlformats.org/officeDocument/2006/relationships/hyperlink" Target="http://www.uesc.br/editora/livrosdigitais2015/arquivo_37.pdf" TargetMode="External"/><Relationship Id="rId366" Type="http://schemas.openxmlformats.org/officeDocument/2006/relationships/hyperlink" Target="http://cdn.ueg.edu.br/source/editora_ueg/conteudoN/4946/pdf_colecao_olhares/livro03_eduardo_gusmao.pdf" TargetMode="External"/><Relationship Id="rId123" Type="http://schemas.openxmlformats.org/officeDocument/2006/relationships/hyperlink" Target="http://omp.ufgd.edu.br/omp/index.php/livrosabertos/catalog/view/5/46/122-1" TargetMode="External"/><Relationship Id="rId365" Type="http://schemas.openxmlformats.org/officeDocument/2006/relationships/hyperlink" Target="https://editora.ifg.edu.br/editoraifg/catalog/view/6/4/35-1" TargetMode="External"/><Relationship Id="rId122" Type="http://schemas.openxmlformats.org/officeDocument/2006/relationships/hyperlink" Target="https://www2.unifap.br/editora/files/2019/07/arqueologia-da-religiao.pdf" TargetMode="External"/><Relationship Id="rId364" Type="http://schemas.openxmlformats.org/officeDocument/2006/relationships/hyperlink" Target="https://editora.ifg.edu.br/editoraifg/catalog/view/5/3/13-4" TargetMode="External"/><Relationship Id="rId95" Type="http://schemas.openxmlformats.org/officeDocument/2006/relationships/hyperlink" Target="http://www2.ufac.br/editora/livros/JESUS_Acreanidade.pdf" TargetMode="External"/><Relationship Id="rId94" Type="http://schemas.openxmlformats.org/officeDocument/2006/relationships/hyperlink" Target="http://editora.metodista.br/livros-gratis/acoesinclusivasnaacademia1.pdf/at_download/file" TargetMode="External"/><Relationship Id="rId97" Type="http://schemas.openxmlformats.org/officeDocument/2006/relationships/hyperlink" Target="https://www.editora.ufop.br/index.php/editora/catalog/view/13/4/20-1" TargetMode="External"/><Relationship Id="rId96" Type="http://schemas.openxmlformats.org/officeDocument/2006/relationships/hyperlink" Target="http://www.editora.ufc.br/catalogo/24-educacao/983-adolescer-para-a-vida-dialogos-e-vivencias" TargetMode="External"/><Relationship Id="rId99" Type="http://schemas.openxmlformats.org/officeDocument/2006/relationships/hyperlink" Target="http://repositorio.ufes.br/bitstream/10/820/1/livro%20edufes%20Africanidade%28s%29%20e%20afrodescend%C3%AAncia%28s%29%20perspectivas%20para%20a%20forma%C3%A7%C3%A3o%20de%20professores.pdf" TargetMode="External"/><Relationship Id="rId98" Type="http://schemas.openxmlformats.org/officeDocument/2006/relationships/hyperlink" Target="http://www.eduff.uff.br/ebooks/Africa-passado-e-presente.pdf" TargetMode="External"/><Relationship Id="rId91" Type="http://schemas.openxmlformats.org/officeDocument/2006/relationships/hyperlink" Target="http://books.scielo.org/id/2mvbb/pdf/feres-9786599036477.pdf" TargetMode="External"/><Relationship Id="rId90" Type="http://schemas.openxmlformats.org/officeDocument/2006/relationships/hyperlink" Target="https://www.eduerj.com/eng/?product=acao-afirmativa-conceito-historia-e-debates-ebook" TargetMode="External"/><Relationship Id="rId93" Type="http://schemas.openxmlformats.org/officeDocument/2006/relationships/hyperlink" Target="http://bit.ly/Acoes-coletivas-de-professores-na-gestao-democratica" TargetMode="External"/><Relationship Id="rId92" Type="http://schemas.openxmlformats.org/officeDocument/2006/relationships/hyperlink" Target="http://www.editora.ufpb.br/sistema/press5/index.php/UFPB/catalog/book/487" TargetMode="External"/><Relationship Id="rId118" Type="http://schemas.openxmlformats.org/officeDocument/2006/relationships/hyperlink" Target="http://books.scielo.org/id/g8qcy/pdf/paiva-9786599036491.pdf" TargetMode="External"/><Relationship Id="rId117" Type="http://schemas.openxmlformats.org/officeDocument/2006/relationships/hyperlink" Target="https://www.eduerj.com/eng/?product=aprendizados-ao-longo-da-vida-sujeitos-politicas-e-processos-ebook" TargetMode="External"/><Relationship Id="rId359" Type="http://schemas.openxmlformats.org/officeDocument/2006/relationships/hyperlink" Target="https://www.eduerj.com/eng/?product=eduerj-25-anos" TargetMode="External"/><Relationship Id="rId116" Type="http://schemas.openxmlformats.org/officeDocument/2006/relationships/hyperlink" Target="https://www.unoesc.edu.br/images/uploads/editora/Aportes_pedag%C3%B3gicos_na_modalidade_a_dist%C3%A2ncia_do_ensino_superior.pdf" TargetMode="External"/><Relationship Id="rId358" Type="http://schemas.openxmlformats.org/officeDocument/2006/relationships/hyperlink" Target="http://omp.ufgd.edu.br/omp/index.php/livrosabertos/catalog/view/92/99/375-1" TargetMode="External"/><Relationship Id="rId115" Type="http://schemas.openxmlformats.org/officeDocument/2006/relationships/hyperlink" Target="http://www.uesc.br/editora/livrosdigitais2015/apolo_nio.pdf" TargetMode="External"/><Relationship Id="rId357" Type="http://schemas.openxmlformats.org/officeDocument/2006/relationships/hyperlink" Target="http://omp.ufgd.edu.br/omp/index.php/livrosabertos/catalog/view/91/98/374-1" TargetMode="External"/><Relationship Id="rId599" Type="http://schemas.openxmlformats.org/officeDocument/2006/relationships/hyperlink" Target="http://www.uesc.br/editora/livrosdigitais2015/mejiga.pdf" TargetMode="External"/><Relationship Id="rId119" Type="http://schemas.openxmlformats.org/officeDocument/2006/relationships/hyperlink" Target="http://omp.ufgd.edu.br/omp/index.php/livrosabertos/catalog/view/34/25/84-1" TargetMode="External"/><Relationship Id="rId110" Type="http://schemas.openxmlformats.org/officeDocument/2006/relationships/hyperlink" Target="https://hdl.handle.net/1884/63927" TargetMode="External"/><Relationship Id="rId352" Type="http://schemas.openxmlformats.org/officeDocument/2006/relationships/hyperlink" Target="http://hdl.handle.net/10183/198710" TargetMode="External"/><Relationship Id="rId594" Type="http://schemas.openxmlformats.org/officeDocument/2006/relationships/hyperlink" Target="http://omp.ufgd.edu.br/omp/index.php/livrosabertos/catalog/view/141/202/483-1" TargetMode="External"/><Relationship Id="rId351" Type="http://schemas.openxmlformats.org/officeDocument/2006/relationships/hyperlink" Target="http://cdn.ueg.edu.br/source/editora_ueg/conteudo_compartilhado/11007/ebook_educacao_no_campo_digital_2018.pdf" TargetMode="External"/><Relationship Id="rId593" Type="http://schemas.openxmlformats.org/officeDocument/2006/relationships/hyperlink" Target="http://www.uesc.br/editora/livrosdigitais2017/caderno_atividades_maricota.pdf" TargetMode="External"/><Relationship Id="rId350" Type="http://schemas.openxmlformats.org/officeDocument/2006/relationships/hyperlink" Target="http://editora.ifpb.edu.br/index.php/ifpb/catalog/book/2" TargetMode="External"/><Relationship Id="rId592" Type="http://schemas.openxmlformats.org/officeDocument/2006/relationships/hyperlink" Target="https://editora.ifc.edu.br/2017/12/21/mar-navegacoes-e-educacao/" TargetMode="External"/><Relationship Id="rId591" Type="http://schemas.openxmlformats.org/officeDocument/2006/relationships/hyperlink" Target="http://editora.metodista.br/livros-gratis/Manual%20para%20Surdos.pdf/at_download/file" TargetMode="External"/><Relationship Id="rId114" Type="http://schemas.openxmlformats.org/officeDocument/2006/relationships/hyperlink" Target="http://omp.ufgd.edu.br/omp/index.php/livrosabertos/catalog/view/215/137/417-1" TargetMode="External"/><Relationship Id="rId356" Type="http://schemas.openxmlformats.org/officeDocument/2006/relationships/hyperlink" Target="http://editora.ifpb.edu.br/index.php/ifpb/catalog/book/236" TargetMode="External"/><Relationship Id="rId598" Type="http://schemas.openxmlformats.org/officeDocument/2006/relationships/hyperlink" Target="http://www.edufu.ufu.br/sites/edufu.ufu.br/files/e-book_max_weber_2016_0.pdf" TargetMode="External"/><Relationship Id="rId113" Type="http://schemas.openxmlformats.org/officeDocument/2006/relationships/hyperlink" Target="http://hdl.handle.net/10183/196171" TargetMode="External"/><Relationship Id="rId355" Type="http://schemas.openxmlformats.org/officeDocument/2006/relationships/hyperlink" Target="http://omp.ufgd.edu.br/omp/index.php/livrosabertos/catalog/view/66/70/250-3" TargetMode="External"/><Relationship Id="rId597" Type="http://schemas.openxmlformats.org/officeDocument/2006/relationships/hyperlink" Target="http://omp.ufgd.edu.br/omp/index.php/livrosabertos/catalog/view/142/201/482-1" TargetMode="External"/><Relationship Id="rId112" Type="http://schemas.openxmlformats.org/officeDocument/2006/relationships/hyperlink" Target="https://editora.ifc.edu.br/2018/11/30/apanhados-de-outros-que-vivem-em-nos-patrimonio-cultural-alimentar-no-territorio-dos-canions-do-sul-do-brasil/" TargetMode="External"/><Relationship Id="rId354" Type="http://schemas.openxmlformats.org/officeDocument/2006/relationships/hyperlink" Target="https://doi.org/10" TargetMode="External"/><Relationship Id="rId596" Type="http://schemas.openxmlformats.org/officeDocument/2006/relationships/hyperlink" Target="https://www.ufcspa.edu.br/editora_log/download.php?cod=016&amp;tipo=pdf" TargetMode="External"/><Relationship Id="rId111" Type="http://schemas.openxmlformats.org/officeDocument/2006/relationships/hyperlink" Target="http://www.editora.puc-rio.br/media/ebook_antropologia_comunicacao.pdf" TargetMode="External"/><Relationship Id="rId353" Type="http://schemas.openxmlformats.org/officeDocument/2006/relationships/hyperlink" Target="http://editora.ifpb.edu.br/index.php/ifpb/catalog/book/350" TargetMode="External"/><Relationship Id="rId595" Type="http://schemas.openxmlformats.org/officeDocument/2006/relationships/hyperlink" Target="https://editora.ifg.edu.br/editoraifg/catalog/view/2/1/23-2" TargetMode="External"/><Relationship Id="rId305" Type="http://schemas.openxmlformats.org/officeDocument/2006/relationships/hyperlink" Target="https://www.editora.ufop.br/index.php/editora/catalog/view/100/79/252-1" TargetMode="External"/><Relationship Id="rId547" Type="http://schemas.openxmlformats.org/officeDocument/2006/relationships/hyperlink" Target="http://www.edufu.ufu.br/sites/edufu.ufu.br/files/e-book_educacao_especial_v4_cepae_2013_0.pdf" TargetMode="External"/><Relationship Id="rId789" Type="http://schemas.openxmlformats.org/officeDocument/2006/relationships/hyperlink" Target="http://www.eduff.uff.br/ebooks/Relacoes-entre-linguagens-no-jornal.pdf" TargetMode="External"/><Relationship Id="rId304" Type="http://schemas.openxmlformats.org/officeDocument/2006/relationships/hyperlink" Target="http://www.uesc.br/editora/livrosdigitais2015/discutindo_geografia.pdf" TargetMode="External"/><Relationship Id="rId546" Type="http://schemas.openxmlformats.org/officeDocument/2006/relationships/hyperlink" Target="http://www.uesc.br/editora/livrosdigitais2020/in_memoriam.pdf" TargetMode="External"/><Relationship Id="rId788" Type="http://schemas.openxmlformats.org/officeDocument/2006/relationships/hyperlink" Target="https://www.dropbox.com/s/v0wait9u2g7nr7r/Livro02_Relacoes_e_Hierarquias_Marcadas_por_Genero.pdf?dl=0" TargetMode="External"/><Relationship Id="rId303" Type="http://schemas.openxmlformats.org/officeDocument/2006/relationships/hyperlink" Target="http://www.editora.ufpb.br/sistema/press5/index.php/UFPB/catalog/book/142" TargetMode="External"/><Relationship Id="rId545" Type="http://schemas.openxmlformats.org/officeDocument/2006/relationships/hyperlink" Target="http://omp.ufgd.edu.br/omp/index.php/livrosabertos/catalog/view/124/219/500-1" TargetMode="External"/><Relationship Id="rId787" Type="http://schemas.openxmlformats.org/officeDocument/2006/relationships/hyperlink" Target="http://omp.ufgd.edu.br/omp/index.php/livrosabertos/catalog/view/178/169/449-1" TargetMode="External"/><Relationship Id="rId302" Type="http://schemas.openxmlformats.org/officeDocument/2006/relationships/hyperlink" Target="http://omp.ufgd.edu.br/omp/index.php/livrosabertos/catalog/view/80/87/333-1" TargetMode="External"/><Relationship Id="rId544" Type="http://schemas.openxmlformats.org/officeDocument/2006/relationships/hyperlink" Target="http://www.editora.ufpb.br/sistema/press5/index.php/UFPB/catalog/book/110" TargetMode="External"/><Relationship Id="rId786" Type="http://schemas.openxmlformats.org/officeDocument/2006/relationships/hyperlink" Target="http://repositorio.ufes.br/handle/10/6772" TargetMode="External"/><Relationship Id="rId309" Type="http://schemas.openxmlformats.org/officeDocument/2006/relationships/hyperlink" Target="https://www2.unifap.br/editora/files/2019/05/diversidade-e-o-campo-da-educacao-intolerancia-religiosa.pdf" TargetMode="External"/><Relationship Id="rId308" Type="http://schemas.openxmlformats.org/officeDocument/2006/relationships/hyperlink" Target="http://repositorio.unesc.net/handle/1/4773" TargetMode="External"/><Relationship Id="rId307" Type="http://schemas.openxmlformats.org/officeDocument/2006/relationships/hyperlink" Target="http://www.editora.ufpb.br/sistema/press5/index.php/UFPB/catalog/book/201" TargetMode="External"/><Relationship Id="rId549" Type="http://schemas.openxmlformats.org/officeDocument/2006/relationships/hyperlink" Target="http://www.edufu.ufu.br/sites/edufu.ufu.br/files/e-book_inclusao_escolar_2008_0.pdf" TargetMode="External"/><Relationship Id="rId306" Type="http://schemas.openxmlformats.org/officeDocument/2006/relationships/hyperlink" Target="http://omp.ufgd.edu.br/omp/index.php/livrosabertos/catalog/view/82/89/335-1" TargetMode="External"/><Relationship Id="rId548" Type="http://schemas.openxmlformats.org/officeDocument/2006/relationships/hyperlink" Target="http://www.edufu.ufu.br/sites/edufu.ufu.br/files/e-book_educacao_especial_e_inclusao_educacional_v2_2012_0.pdf" TargetMode="External"/><Relationship Id="rId781" Type="http://schemas.openxmlformats.org/officeDocument/2006/relationships/hyperlink" Target="http://editora.ifpb.edu.br/index.php/ifpb/catalog/book/82" TargetMode="External"/><Relationship Id="rId780" Type="http://schemas.openxmlformats.org/officeDocument/2006/relationships/hyperlink" Target="http://editora.ifpb.edu.br/index.php/ifpb/catalog/book/234" TargetMode="External"/><Relationship Id="rId301" Type="http://schemas.openxmlformats.org/officeDocument/2006/relationships/hyperlink" Target="http://www.editora.ufpb.br/sistema/press5/index.php/UFPB/catalog/book/538" TargetMode="External"/><Relationship Id="rId543" Type="http://schemas.openxmlformats.org/officeDocument/2006/relationships/hyperlink" Target="http://omp.ufgd.edu.br/omp/index.php/livrosabertos/catalog/view/123/220/501-1" TargetMode="External"/><Relationship Id="rId785" Type="http://schemas.openxmlformats.org/officeDocument/2006/relationships/hyperlink" Target="http://repositorio.ufba.br/ri/handle/ri/21199" TargetMode="External"/><Relationship Id="rId300" Type="http://schemas.openxmlformats.org/officeDocument/2006/relationships/hyperlink" Target="https://www.editora.ufop.br/index.php/editora/catalog/view/137/111/363-1" TargetMode="External"/><Relationship Id="rId542" Type="http://schemas.openxmlformats.org/officeDocument/2006/relationships/hyperlink" Target="http://www.uesc.br/editora/livrosdigitais_20141023/ime.pdf" TargetMode="External"/><Relationship Id="rId784" Type="http://schemas.openxmlformats.org/officeDocument/2006/relationships/hyperlink" Target="http://books.scielo.org/id/spd6r/pdf/david-9788575114759.pdf" TargetMode="External"/><Relationship Id="rId541" Type="http://schemas.openxmlformats.org/officeDocument/2006/relationships/hyperlink" Target="http://www.editora.puc-rio.br/media/Ebook%20Imagin%C3%A1rios%20e%20dramas%20sociais.pdf" TargetMode="External"/><Relationship Id="rId783" Type="http://schemas.openxmlformats.org/officeDocument/2006/relationships/hyperlink" Target="http://www2.uesb.br/editora/wp-content/uploads/REFERENCIAIS-TE%C3%93RICOS.pdf" TargetMode="External"/><Relationship Id="rId540" Type="http://schemas.openxmlformats.org/officeDocument/2006/relationships/hyperlink" Target="http://eduepb.uepb.edu.br/download/imaginario-da-serpente-de-a-a-z/?wpdmdl=189&amp;amp;masterkey=5af99b7896789" TargetMode="External"/><Relationship Id="rId782" Type="http://schemas.openxmlformats.org/officeDocument/2006/relationships/hyperlink" Target="http://repositorio.ufes.br/handle/10/1896" TargetMode="External"/><Relationship Id="rId536" Type="http://schemas.openxmlformats.org/officeDocument/2006/relationships/hyperlink" Target="https://www.eduerj.com/eng/?product=ideologia-e-utopia-nos-anos-60-um-olhar-feminino" TargetMode="External"/><Relationship Id="rId778" Type="http://schemas.openxmlformats.org/officeDocument/2006/relationships/hyperlink" Target="http://omp.ufgd.edu.br/omp/index.php/livrosabertos/catalog/view/229/111/388-1" TargetMode="External"/><Relationship Id="rId535" Type="http://schemas.openxmlformats.org/officeDocument/2006/relationships/hyperlink" Target="http://repositorio.ufpel.edu.br:8080/bitstream/prefix/3811/1/2_IDENTIDADES%20EM%20REDE_S%c3%89RIE%20P%c3%93S%20GRADUA%c3%87%c3%83O.pdf" TargetMode="External"/><Relationship Id="rId777" Type="http://schemas.openxmlformats.org/officeDocument/2006/relationships/hyperlink" Target="http://omp.ufgd.edu.br/omp/index.php/livrosabertos/catalog/view/176/170/450-1" TargetMode="External"/><Relationship Id="rId534" Type="http://schemas.openxmlformats.org/officeDocument/2006/relationships/hyperlink" Target="http://omp.ufgd.edu.br/omp/index.php/livrosabertos/catalog/view/223/129/409-1" TargetMode="External"/><Relationship Id="rId776" Type="http://schemas.openxmlformats.org/officeDocument/2006/relationships/hyperlink" Target="https://www.eduerj.com/eng/?product=psicologia-na-uerj-45-anos-de-historias" TargetMode="External"/><Relationship Id="rId533" Type="http://schemas.openxmlformats.org/officeDocument/2006/relationships/hyperlink" Target="http://www.uesc.br/editora/livrosdigitais2/identidade_cultural.pdf" TargetMode="External"/><Relationship Id="rId775" Type="http://schemas.openxmlformats.org/officeDocument/2006/relationships/hyperlink" Target="https://www.unoesc.edu.br/images/uploads/editora/Psicologia_e_as_minorias.pdf" TargetMode="External"/><Relationship Id="rId539" Type="http://schemas.openxmlformats.org/officeDocument/2006/relationships/hyperlink" Target="http://omp.ufgd.edu.br/omp/index.php/livrosabertos/catalog/view/237/126/406-1" TargetMode="External"/><Relationship Id="rId538" Type="http://schemas.openxmlformats.org/officeDocument/2006/relationships/hyperlink" Target="http://cdn.ueg.edu.br/source/editora_ueg/conteudo_compartilhado/10955/ebook_imagens_da_formacao_docente_2019.pdf" TargetMode="External"/><Relationship Id="rId537" Type="http://schemas.openxmlformats.org/officeDocument/2006/relationships/hyperlink" Target="https://www2.unifap.br/editora/files/2020/07/igreja-gay.pdf" TargetMode="External"/><Relationship Id="rId779" Type="http://schemas.openxmlformats.org/officeDocument/2006/relationships/hyperlink" Target="http://www.editora.puc-rio.br/media/ebook_raul_amaro.pdf" TargetMode="External"/><Relationship Id="rId770" Type="http://schemas.openxmlformats.org/officeDocument/2006/relationships/hyperlink" Target="http://repositorio.ufba.br/ri/handle/ri/17273" TargetMode="External"/><Relationship Id="rId532" Type="http://schemas.openxmlformats.org/officeDocument/2006/relationships/hyperlink" Target="http://www.editora.ufpb.br/sistema/press5/index.php/UFPB/catalog/book/104" TargetMode="External"/><Relationship Id="rId774" Type="http://schemas.openxmlformats.org/officeDocument/2006/relationships/hyperlink" Target="http://editora.metodista.br/livros-gratis/psicologiadasaude.pdf/at_download/file" TargetMode="External"/><Relationship Id="rId531" Type="http://schemas.openxmlformats.org/officeDocument/2006/relationships/hyperlink" Target="https://www2.unifap.br/editora/files/2019/07/1-enoque-nos-bastidores-de-crencas-angelologicas-judaico-cristas.pdf" TargetMode="External"/><Relationship Id="rId773" Type="http://schemas.openxmlformats.org/officeDocument/2006/relationships/hyperlink" Target="http://www.editora.ufpb.br/sistema/press5/index.php/UFPB/catalog/book/107" TargetMode="External"/><Relationship Id="rId530" Type="http://schemas.openxmlformats.org/officeDocument/2006/relationships/hyperlink" Target="http://www.casaruibarbosa.gov.br/arquivos/file/Encontro%20Nacional%20da%20REM%20OCR.pdf" TargetMode="External"/><Relationship Id="rId772" Type="http://schemas.openxmlformats.org/officeDocument/2006/relationships/hyperlink" Target="http://omp.ufgd.edu.br/omp/index.php/livrosabertos/catalog/view/174/172/452-1" TargetMode="External"/><Relationship Id="rId771" Type="http://schemas.openxmlformats.org/officeDocument/2006/relationships/hyperlink" Target="http://ufrr.br/editora/index.php/editais?download=423" TargetMode="External"/><Relationship Id="rId327" Type="http://schemas.openxmlformats.org/officeDocument/2006/relationships/hyperlink" Target="http://www.editora.ufrj.br/DynamicItems/livrosabertos-1/DuasConferencias_compressed.pdf" TargetMode="External"/><Relationship Id="rId569" Type="http://schemas.openxmlformats.org/officeDocument/2006/relationships/hyperlink" Target="https://hdl.handle.net/1884/63941" TargetMode="External"/><Relationship Id="rId326" Type="http://schemas.openxmlformats.org/officeDocument/2006/relationships/hyperlink" Target="https://www.eduerj.com/eng/?product=drogas-e-pos-modernidade-faces-de-um-tema-proscrito-vol-2" TargetMode="External"/><Relationship Id="rId568" Type="http://schemas.openxmlformats.org/officeDocument/2006/relationships/hyperlink" Target="http://repositorio.ufes.br/handle/10/1903" TargetMode="External"/><Relationship Id="rId325" Type="http://schemas.openxmlformats.org/officeDocument/2006/relationships/hyperlink" Target="https://www.eduerj.com/eng/?product=drogas-e-pos-modernidade-prazer-sofrimento-tabu-vol-1" TargetMode="External"/><Relationship Id="rId567" Type="http://schemas.openxmlformats.org/officeDocument/2006/relationships/hyperlink" Target="http://ufrr.br/editora/index.php/editais?download=407" TargetMode="External"/><Relationship Id="rId324" Type="http://schemas.openxmlformats.org/officeDocument/2006/relationships/hyperlink" Target="http://omp.ufgd.edu.br/omp/index.php/livrosabertos/catalog/view/86/93/351-1" TargetMode="External"/><Relationship Id="rId566" Type="http://schemas.openxmlformats.org/officeDocument/2006/relationships/hyperlink" Target="http://www.editora.puc-rio.br/media/ebook_internationalization.pdf" TargetMode="External"/><Relationship Id="rId329" Type="http://schemas.openxmlformats.org/officeDocument/2006/relationships/hyperlink" Target="http://editora.ifpb.edu.br/index.php/ifpb/catalog/book/32" TargetMode="External"/><Relationship Id="rId328" Type="http://schemas.openxmlformats.org/officeDocument/2006/relationships/hyperlink" Target="https://drive.google.com/file/d/1crUocIVWwlPigHWWqOXtTvLRo-5qYcaz/view" TargetMode="External"/><Relationship Id="rId561" Type="http://schemas.openxmlformats.org/officeDocument/2006/relationships/hyperlink" Target="http://hdl.handle.net/10183/52801" TargetMode="External"/><Relationship Id="rId560" Type="http://schemas.openxmlformats.org/officeDocument/2006/relationships/hyperlink" Target="http://www.casaruibarbosa.gov.br/arquivos/file/eBooks/instituicoes_Nefandas.pdf" TargetMode="External"/><Relationship Id="rId323" Type="http://schemas.openxmlformats.org/officeDocument/2006/relationships/hyperlink" Target="http://www.uems.br/assets/uploads/editora/arquivos/2_2016-03-10_17-13-35.pdf" TargetMode="External"/><Relationship Id="rId565" Type="http://schemas.openxmlformats.org/officeDocument/2006/relationships/hyperlink" Target="http://ufrr.br/editora/index.php/editais?download=446" TargetMode="External"/><Relationship Id="rId322" Type="http://schemas.openxmlformats.org/officeDocument/2006/relationships/hyperlink" Target="http://cdn.ueg.edu.br/source/editora_ueg/conteudo_compartilhado/11006/ebook_docencia_interdisciplinaridades_e_letramentos_2018.pdf" TargetMode="External"/><Relationship Id="rId564" Type="http://schemas.openxmlformats.org/officeDocument/2006/relationships/hyperlink" Target="http://www.editora.ufpb.br/sistema/press5/index.php/UFPB/catalog/book/551" TargetMode="External"/><Relationship Id="rId321" Type="http://schemas.openxmlformats.org/officeDocument/2006/relationships/hyperlink" Target="http://www.uems.br/assets/uploads/editora/arquivos/2_2020-03-23_08-42-03.pdf" TargetMode="External"/><Relationship Id="rId563" Type="http://schemas.openxmlformats.org/officeDocument/2006/relationships/hyperlink" Target="http://eduepb.uepb.edu.br/download/interculturalidade-linguagens-e-formacao-de-professores/?wpdmdl=192&amp;amp;masterkey=5af99b8652812" TargetMode="External"/><Relationship Id="rId320" Type="http://schemas.openxmlformats.org/officeDocument/2006/relationships/hyperlink" Target="http://editora.metodista.br/livros-gratis/Docencia%20no%20Ensino.pdf/at_download/file" TargetMode="External"/><Relationship Id="rId562" Type="http://schemas.openxmlformats.org/officeDocument/2006/relationships/hyperlink" Target="http://www.editora.ufrj.br/DynamicItems/livrosabertos-1/IntelectuaisEGuerreiros_compressed.pdf" TargetMode="External"/><Relationship Id="rId316" Type="http://schemas.openxmlformats.org/officeDocument/2006/relationships/hyperlink" Target="http://repositorio.ufpel.edu.br:8080/bitstream/prefix/3738/1/Do%20romantismo%20a%20Nietzsche.pdf" TargetMode="External"/><Relationship Id="rId558" Type="http://schemas.openxmlformats.org/officeDocument/2006/relationships/hyperlink" Target="https://doi.org/10" TargetMode="External"/><Relationship Id="rId315" Type="http://schemas.openxmlformats.org/officeDocument/2006/relationships/hyperlink" Target="http://www.repositorio.ufba.br/ri/handle/ri/11324" TargetMode="External"/><Relationship Id="rId557" Type="http://schemas.openxmlformats.org/officeDocument/2006/relationships/hyperlink" Target="http://www.uesc.br/editora/livrosdigitais2015/iniciacao_a_linguagen_geografia.pdf" TargetMode="External"/><Relationship Id="rId799" Type="http://schemas.openxmlformats.org/officeDocument/2006/relationships/hyperlink" Target="https://www.editora.ufop.br/index.php/editora/catalog/view/45/31/105-1" TargetMode="External"/><Relationship Id="rId314" Type="http://schemas.openxmlformats.org/officeDocument/2006/relationships/hyperlink" Target="http://www.uesc.br/editora/livrosdigitais2015/do_infinito_do_minimo.pdf" TargetMode="External"/><Relationship Id="rId556" Type="http://schemas.openxmlformats.org/officeDocument/2006/relationships/hyperlink" Target="http://hdl.handle.net/10183/205733" TargetMode="External"/><Relationship Id="rId798" Type="http://schemas.openxmlformats.org/officeDocument/2006/relationships/hyperlink" Target="http://www.editora.ufpb.br/sistema/press5/index.php/UFPB/catalog/book/111" TargetMode="External"/><Relationship Id="rId313" Type="http://schemas.openxmlformats.org/officeDocument/2006/relationships/hyperlink" Target="http://www.editora.ufpb.br/sistema/press5/index.php/UFPB/catalog/book/342" TargetMode="External"/><Relationship Id="rId555" Type="http://schemas.openxmlformats.org/officeDocument/2006/relationships/hyperlink" Target="http://www.uems.br/assets/uploads/editora/arquivos/1_2016-09-14_18-27-47.pdf" TargetMode="External"/><Relationship Id="rId797" Type="http://schemas.openxmlformats.org/officeDocument/2006/relationships/hyperlink" Target="http://www.uesc.br/editora/livrosdigitais2018/representacoes_do_escondido.pdf" TargetMode="External"/><Relationship Id="rId319" Type="http://schemas.openxmlformats.org/officeDocument/2006/relationships/hyperlink" Target="http://omp.ufgd.edu.br/omp/index.php/livrosabertos/catalog/view/247/243/529-1" TargetMode="External"/><Relationship Id="rId318" Type="http://schemas.openxmlformats.org/officeDocument/2006/relationships/hyperlink" Target="https://paginas.uepa.br/eduepa/wp-content/uploads/2020/07/terreiro_escola.pdf" TargetMode="External"/><Relationship Id="rId317" Type="http://schemas.openxmlformats.org/officeDocument/2006/relationships/hyperlink" Target="http://omp.ufgd.edu.br/omp/index.php/livrosabertos/catalog/view/85/92/345-1" TargetMode="External"/><Relationship Id="rId559" Type="http://schemas.openxmlformats.org/officeDocument/2006/relationships/hyperlink" Target="http://www.editora.puc-rio.br/media/ebook_institucionalizacao_de_criancas_no_brasil.pdf" TargetMode="External"/><Relationship Id="rId550" Type="http://schemas.openxmlformats.org/officeDocument/2006/relationships/hyperlink" Target="http://www.edufu.ufu.br/sites/edufu.ufu.br/files/e-book_incursoes_da_escrita_2017_0.pdf" TargetMode="External"/><Relationship Id="rId792" Type="http://schemas.openxmlformats.org/officeDocument/2006/relationships/hyperlink" Target="http://omp.ufgd.edu.br/omp/index.php/livrosabertos/catalog/view/179/168/448-1" TargetMode="External"/><Relationship Id="rId791" Type="http://schemas.openxmlformats.org/officeDocument/2006/relationships/hyperlink" Target="http://ufrr.br/editora/index.php/editais?download=448" TargetMode="External"/><Relationship Id="rId790" Type="http://schemas.openxmlformats.org/officeDocument/2006/relationships/hyperlink" Target="https://www.ufpi.br/arquivos_download/arquivos/EDUFPI/e-Book_-_Trabalho_Educacao_e_Pobreza02220180406155329.pdf" TargetMode="External"/><Relationship Id="rId312" Type="http://schemas.openxmlformats.org/officeDocument/2006/relationships/hyperlink" Target="http://omp.ufgd.edu.br/omp/index.php/livrosabertos/catalog/view/84/91/337-1" TargetMode="External"/><Relationship Id="rId554" Type="http://schemas.openxmlformats.org/officeDocument/2006/relationships/hyperlink" Target="http://eduepb.uepb.edu.br/download/industrializacao-do-ensino-e-politica-de-educacao-a-distancia/?wpdmdl=978&amp;" TargetMode="External"/><Relationship Id="rId796" Type="http://schemas.openxmlformats.org/officeDocument/2006/relationships/hyperlink" Target="http://omp.ufgd.edu.br/omp/index.php/livrosabertos/catalog/view/180/167/447-1" TargetMode="External"/><Relationship Id="rId311" Type="http://schemas.openxmlformats.org/officeDocument/2006/relationships/hyperlink" Target="http://www.uesc.br/editora/livrosdigitais2017/diversidade_escola_2ed.pdf" TargetMode="External"/><Relationship Id="rId553" Type="http://schemas.openxmlformats.org/officeDocument/2006/relationships/hyperlink" Target="http://editora.ifpb.edu.br/index.php/ifpb/catalog/book/345" TargetMode="External"/><Relationship Id="rId795" Type="http://schemas.openxmlformats.org/officeDocument/2006/relationships/hyperlink" Target="http://www.editora.puc-rio.br/media/E-book%20Religi%C3%A3o%20e%20Territ%C3%B3rio%20no%20Brasil_1991-2010.pdf" TargetMode="External"/><Relationship Id="rId310" Type="http://schemas.openxmlformats.org/officeDocument/2006/relationships/hyperlink" Target="https://www2.unifap.br/editora/files/2019/05/diversidades-e-o-campo-da-educacao-abordagens-contemporaneas.pdf" TargetMode="External"/><Relationship Id="rId552" Type="http://schemas.openxmlformats.org/officeDocument/2006/relationships/hyperlink" Target="http://www.editora.ufc.br/catalogo/47-sociologia/986-indignacao-e-conhecimento-para-pensar-o-direito-das-minorias" TargetMode="External"/><Relationship Id="rId794" Type="http://schemas.openxmlformats.org/officeDocument/2006/relationships/hyperlink" Target="https://www2.unifap.br/editora/files/2019/04/Religiao-e-Religiosidade-na-Amazonia-e-na-Contemporaneidade.pdf" TargetMode="External"/><Relationship Id="rId551" Type="http://schemas.openxmlformats.org/officeDocument/2006/relationships/hyperlink" Target="https://www2.unifap.br/editora/files/2019/07/incursoes-socioantropologicas.pdf" TargetMode="External"/><Relationship Id="rId793" Type="http://schemas.openxmlformats.org/officeDocument/2006/relationships/hyperlink" Target="https://portal-archipelagus.azurewebsites.net/farol/edunioeste/ebook/relatos-de-experiencias-exitosas-das-ies-formacao-do-docente-do-ensino-superior-assistencia-estudantil-e-assistencia-pedagogica/1204359/" TargetMode="External"/><Relationship Id="rId297" Type="http://schemas.openxmlformats.org/officeDocument/2006/relationships/hyperlink" Target="http://bit.ly/Direitos-humanos-em-debate" TargetMode="External"/><Relationship Id="rId296" Type="http://schemas.openxmlformats.org/officeDocument/2006/relationships/hyperlink" Target="http://omp.ufgd.edu.br/omp/index.php/livrosabertos/catalog/view/77/84/330-1" TargetMode="External"/><Relationship Id="rId295" Type="http://schemas.openxmlformats.org/officeDocument/2006/relationships/hyperlink" Target="http://omp.ufgd.edu.br/omp/index.php/livrosabertos/catalog/view/75/82/328-1" TargetMode="External"/><Relationship Id="rId294" Type="http://schemas.openxmlformats.org/officeDocument/2006/relationships/hyperlink" Target="http://omp.ufgd.edu.br/omp/index.php/livrosabertos/catalog/view/74/81/327-1" TargetMode="External"/><Relationship Id="rId299" Type="http://schemas.openxmlformats.org/officeDocument/2006/relationships/hyperlink" Target="http://omp.ufgd.edu.br/omp/index.php/livrosabertos/catalog/view/79/86/332-1" TargetMode="External"/><Relationship Id="rId298" Type="http://schemas.openxmlformats.org/officeDocument/2006/relationships/hyperlink" Target="http://omp.ufgd.edu.br/omp/index.php/livrosabertos/catalog/view/78/85/331-1" TargetMode="External"/><Relationship Id="rId271" Type="http://schemas.openxmlformats.org/officeDocument/2006/relationships/hyperlink" Target="https://hdl.handle.net/1884/47830" TargetMode="External"/><Relationship Id="rId270" Type="http://schemas.openxmlformats.org/officeDocument/2006/relationships/hyperlink" Target="https://www.ufpi.br/arquivos_download/arquivos/EDUFPI/E-BOOK_2018_18_set_201820180918153950.pdf" TargetMode="External"/><Relationship Id="rId269" Type="http://schemas.openxmlformats.org/officeDocument/2006/relationships/hyperlink" Target="https://www2.unifap.br/editora/files/2019/05/desapropriando-o-curriculo.pdf" TargetMode="External"/><Relationship Id="rId264" Type="http://schemas.openxmlformats.org/officeDocument/2006/relationships/hyperlink" Target="https://editora.ifc.edu.br/2020/07/16/desafios-de-ensinar-aprender-e-avaliar-em-tempos-de-pandemia/" TargetMode="External"/><Relationship Id="rId263" Type="http://schemas.openxmlformats.org/officeDocument/2006/relationships/hyperlink" Target="http://cdn.ueg.edu.br/source/editora_ueg/conteudo_extensao/11295/ebook_desafios_da_cartografia_escolar_2019.pdf" TargetMode="External"/><Relationship Id="rId262" Type="http://schemas.openxmlformats.org/officeDocument/2006/relationships/hyperlink" Target="http://www.eduff.uff.br/ebooks/Des-territorializacao-e-identidade.pdf" TargetMode="External"/><Relationship Id="rId261" Type="http://schemas.openxmlformats.org/officeDocument/2006/relationships/hyperlink" Target="http://repositorio.ufba.br/ri/handle/ri/19267" TargetMode="External"/><Relationship Id="rId268" Type="http://schemas.openxmlformats.org/officeDocument/2006/relationships/hyperlink" Target="https://www.editoraargos.com.br/farol/editoraargos/ebook/desafios-politicos-e-epistemologicos-da-formacao-continuada-reflexoes-epistemico-pedagogicas/735432/" TargetMode="External"/><Relationship Id="rId267" Type="http://schemas.openxmlformats.org/officeDocument/2006/relationships/hyperlink" Target="http://eduepb.uepb.edu.br/download/desafios-e-perspectivas-na-profissionalizacao-docente-pibid-uepb-volume-3/?wpdmdl=230&amp;amp;masterkey=5af9a48569feb" TargetMode="External"/><Relationship Id="rId266" Type="http://schemas.openxmlformats.org/officeDocument/2006/relationships/hyperlink" Target="http://eduepb.uepb.edu.br/download/desafios-e-perspectivas-na-profissionalizacao-docente-pibid-uepb-volume-2/?wpdmdl=229&amp;amp;masterkey=5af9a4313475e" TargetMode="External"/><Relationship Id="rId265" Type="http://schemas.openxmlformats.org/officeDocument/2006/relationships/hyperlink" Target="http://eduepb.uepb.edu.br/download/desafios-e-perspectivas-na-profissionalizacao-docente-pibid-uepb-volume-1/?wpdmdl=228&amp;amp;masterkey=5af9a4118eef7" TargetMode="External"/><Relationship Id="rId260" Type="http://schemas.openxmlformats.org/officeDocument/2006/relationships/hyperlink" Target="http://editora.metodista.br/livros-gratis/declaracao%20universal%20direitos%20humanos%204ed.pdf/at_download/file" TargetMode="External"/><Relationship Id="rId259" Type="http://schemas.openxmlformats.org/officeDocument/2006/relationships/hyperlink" Target="http://www.uesc.br/editora/livrosdigitais2015/de_tabocas_itabuna.pdf" TargetMode="External"/><Relationship Id="rId258" Type="http://schemas.openxmlformats.org/officeDocument/2006/relationships/hyperlink" Target="http://www.editora.ufpb.br/sistema/press5/index.php/UFPB/catalog/book/106" TargetMode="External"/><Relationship Id="rId253" Type="http://schemas.openxmlformats.org/officeDocument/2006/relationships/hyperlink" Target="http://repositorio.ufes.br/bitstream/10/801/1/livro%20edufes%20Darwin%20ensaios%20e%20controv%C3%A9rsias.pdf" TargetMode="External"/><Relationship Id="rId495" Type="http://schemas.openxmlformats.org/officeDocument/2006/relationships/hyperlink" Target="http://omp.ufgd.edu.br/omp/index.php/livrosabertos/catalog/view/114/57/204-1" TargetMode="External"/><Relationship Id="rId252" Type="http://schemas.openxmlformats.org/officeDocument/2006/relationships/hyperlink" Target="http://www.casaruibarbosa.gov.br/arquivos/file/eBooks/eBook_Dadiva.pdf" TargetMode="External"/><Relationship Id="rId494" Type="http://schemas.openxmlformats.org/officeDocument/2006/relationships/hyperlink" Target="http://omp.ufgd.edu.br/omp/index.php/livrosabertos/catalog/view/115/56/201-3" TargetMode="External"/><Relationship Id="rId251" Type="http://schemas.openxmlformats.org/officeDocument/2006/relationships/hyperlink" Target="http://www.uesc.br/editora/livrosdigitais2015/da_porteira_pra_fora.pdf" TargetMode="External"/><Relationship Id="rId493" Type="http://schemas.openxmlformats.org/officeDocument/2006/relationships/hyperlink" Target="http://editora.ifpb.edu.br/index.php/ifpb/catalog/book/346" TargetMode="External"/><Relationship Id="rId250" Type="http://schemas.openxmlformats.org/officeDocument/2006/relationships/hyperlink" Target="https://www.eduerj.com/eng/?product=da-justica-em-nome-del-rey-justica-ouvidores-e-inconfidencia-no-centro-sul-da-america-portuguesa-ebook" TargetMode="External"/><Relationship Id="rId492" Type="http://schemas.openxmlformats.org/officeDocument/2006/relationships/hyperlink" Target="https://editora.ifc.edu.br/2018/12/20/guia-para-a-escrita-de-artigos-cientificos-uma-perspectiva-da-pesquisa-tecnologica/" TargetMode="External"/><Relationship Id="rId257" Type="http://schemas.openxmlformats.org/officeDocument/2006/relationships/hyperlink" Target="http://repositorio.ufba.br/ri/handle/ri/31830" TargetMode="External"/><Relationship Id="rId499" Type="http://schemas.openxmlformats.org/officeDocument/2006/relationships/hyperlink" Target="http://ufrr.br/editora/index.php/editais?download=415" TargetMode="External"/><Relationship Id="rId256" Type="http://schemas.openxmlformats.org/officeDocument/2006/relationships/hyperlink" Target="http://www.editora.puc-rio.br/media/ebook_brizola_cabral_collor_dilma.pdf" TargetMode="External"/><Relationship Id="rId498" Type="http://schemas.openxmlformats.org/officeDocument/2006/relationships/hyperlink" Target="http://omp.ufgd.edu.br/omp/index.php/livrosabertos/catalog/view/117/225/506-1" TargetMode="External"/><Relationship Id="rId255" Type="http://schemas.openxmlformats.org/officeDocument/2006/relationships/hyperlink" Target="https://repositorio.ufsc.br/handle/123456789/187611" TargetMode="External"/><Relationship Id="rId497" Type="http://schemas.openxmlformats.org/officeDocument/2006/relationships/hyperlink" Target="http://eduepb.uepb.edu.br/download/herois-de-uma-revolucao-anunciada-ou-aventureiros-de-um-tempo-perdido/?wpdmdl=605&amp;amp;masterkey=5c8fa110e47c8" TargetMode="External"/><Relationship Id="rId254" Type="http://schemas.openxmlformats.org/officeDocument/2006/relationships/hyperlink" Target="https://hdl.handle.net/1884/63931" TargetMode="External"/><Relationship Id="rId496" Type="http://schemas.openxmlformats.org/officeDocument/2006/relationships/hyperlink" Target="https://hdl.handle.net/1884/47920" TargetMode="External"/><Relationship Id="rId293" Type="http://schemas.openxmlformats.org/officeDocument/2006/relationships/hyperlink" Target="http://www.uesc.br/editora/livrosdigitais2015/diocese_ilheus.pdf" TargetMode="External"/><Relationship Id="rId292" Type="http://schemas.openxmlformats.org/officeDocument/2006/relationships/hyperlink" Target="http://hdl.handle.net/10183/198711" TargetMode="External"/><Relationship Id="rId291" Type="http://schemas.openxmlformats.org/officeDocument/2006/relationships/hyperlink" Target="http://omp.ufgd.edu.br/omp/index.php/livrosabertos/catalog/view/148/77/516-1" TargetMode="External"/><Relationship Id="rId290" Type="http://schemas.openxmlformats.org/officeDocument/2006/relationships/hyperlink" Target="http://omp.ufgd.edu.br/omp/index.php/livrosabertos/catalog/view/73/76/256-1" TargetMode="External"/><Relationship Id="rId286" Type="http://schemas.openxmlformats.org/officeDocument/2006/relationships/hyperlink" Target="http://hdl.handle.net/1884/29815" TargetMode="External"/><Relationship Id="rId285" Type="http://schemas.openxmlformats.org/officeDocument/2006/relationships/hyperlink" Target="https://www2.unifap.br/editora/files/2020/08/dialogos-entre-movimentos-sociais-e-mp.pdf" TargetMode="External"/><Relationship Id="rId284" Type="http://schemas.openxmlformats.org/officeDocument/2006/relationships/hyperlink" Target="http://cdn.ueg.edu.br/source/editora_ueg/conteudo_extensao/11259/ebook_enfople_2018.pdf" TargetMode="External"/><Relationship Id="rId283" Type="http://schemas.openxmlformats.org/officeDocument/2006/relationships/hyperlink" Target="https://www.eduerj.com/eng/?product=dialogos-curriculares-entre-brasil-e-mexico-ebook" TargetMode="External"/><Relationship Id="rId289" Type="http://schemas.openxmlformats.org/officeDocument/2006/relationships/hyperlink" Target="https://www.editoraargos.com.br/farol/editoraargos/ebook/dicionario-nada-convencional-sobre-a-exclusao-no-oeste-catarinense/33247/" TargetMode="External"/><Relationship Id="rId288" Type="http://schemas.openxmlformats.org/officeDocument/2006/relationships/hyperlink" Target="http://repositorio.ufpel.edu.br:8080/bitstream/prefix/3735/1/Dicion%c3%a1rio%20de%20Hist%c3%b3ria%20de%20Pelotas.pdf" TargetMode="External"/><Relationship Id="rId287" Type="http://schemas.openxmlformats.org/officeDocument/2006/relationships/hyperlink" Target="http://omp.ufgd.edu.br/omp/index.php/livrosabertos/catalog/view/2/2/29-1" TargetMode="External"/><Relationship Id="rId282" Type="http://schemas.openxmlformats.org/officeDocument/2006/relationships/hyperlink" Target="http://repositorio.ufes.br/bitstream/10/6842/1/Dialogos%20com%20os%20professores_Edufes_vers%C3%A3o%20digital.pdf" TargetMode="External"/><Relationship Id="rId281" Type="http://schemas.openxmlformats.org/officeDocument/2006/relationships/hyperlink" Target="https://editora.ifg.edu.br/editoraifg/catalog/view/18/16/52-2" TargetMode="External"/><Relationship Id="rId280" Type="http://schemas.openxmlformats.org/officeDocument/2006/relationships/hyperlink" Target="http://cdn.ueg.edu.br/source/editora_ueg/conteudo_extensao/11329/ebook_2019_devocao_arte_territorio.pdf" TargetMode="External"/><Relationship Id="rId275" Type="http://schemas.openxmlformats.org/officeDocument/2006/relationships/hyperlink" Target="http://ufrr.br/editora/index.php/editais?download=409" TargetMode="External"/><Relationship Id="rId274" Type="http://schemas.openxmlformats.org/officeDocument/2006/relationships/hyperlink" Target="http://hdl.handle.net/10183/213590" TargetMode="External"/><Relationship Id="rId273" Type="http://schemas.openxmlformats.org/officeDocument/2006/relationships/hyperlink" Target="https://www.eduerj.com/eng/?product=desenvolvimento-e-civilizacao-homenagem-a-celso-furtado" TargetMode="External"/><Relationship Id="rId272" Type="http://schemas.openxmlformats.org/officeDocument/2006/relationships/hyperlink" Target="http://cdn.ueg.edu.br/source/editora_ueg/conteudo_extensao/11296/ebook_2019_desconstruir_o_invisive_baixa_resolucaol.pdf" TargetMode="External"/><Relationship Id="rId279" Type="http://schemas.openxmlformats.org/officeDocument/2006/relationships/hyperlink" Target="http://www.eduff.uff.br/ebooks/Devastacao-e-preservacao-ambiental-no-Rio-de-Janeiro.pdf" TargetMode="External"/><Relationship Id="rId278" Type="http://schemas.openxmlformats.org/officeDocument/2006/relationships/hyperlink" Target="http://www.editora.ufpb.br/sistema/press5/index.php/UFPB/catalog/book/509" TargetMode="External"/><Relationship Id="rId277" Type="http://schemas.openxmlformats.org/officeDocument/2006/relationships/hyperlink" Target="https://editora.ifg.edu.br/editoraifg/catalog/view/38/20/98-1" TargetMode="External"/><Relationship Id="rId276" Type="http://schemas.openxmlformats.org/officeDocument/2006/relationships/hyperlink" Target="https://editora.ifg.edu.br/editoraifg/catalog/view/20/17/57-1" TargetMode="External"/><Relationship Id="rId907" Type="http://schemas.openxmlformats.org/officeDocument/2006/relationships/hyperlink" Target="https://www.eduerj.com/eng/?product=work-in-brazil-essays-in-historical-and-economic-sociology" TargetMode="External"/><Relationship Id="rId906" Type="http://schemas.openxmlformats.org/officeDocument/2006/relationships/hyperlink" Target="http://www.editora.ufpb.br/sistema/press5/index.php/UFPB/catalog/book/464" TargetMode="External"/><Relationship Id="rId905" Type="http://schemas.openxmlformats.org/officeDocument/2006/relationships/hyperlink" Target="https://www.unoesc.edu.br/images/uploads/editora/vivencias_pedagogicas_no_pibid_unoesc.pdf" TargetMode="External"/><Relationship Id="rId904" Type="http://schemas.openxmlformats.org/officeDocument/2006/relationships/hyperlink" Target="http://ufrr.br/editora/index.php/editais?download=424" TargetMode="External"/><Relationship Id="rId909" Type="http://schemas.openxmlformats.org/officeDocument/2006/relationships/drawing" Target="../drawings/drawing6.xml"/><Relationship Id="rId908" Type="http://schemas.openxmlformats.org/officeDocument/2006/relationships/hyperlink" Target="http://www.editora.ufpb.br/sistema/press5/index.php/UFPB/catalog/book/124" TargetMode="External"/><Relationship Id="rId903" Type="http://schemas.openxmlformats.org/officeDocument/2006/relationships/hyperlink" Target="http://ufrr.br/editora/index.php/editais?download=425" TargetMode="External"/><Relationship Id="rId902" Type="http://schemas.openxmlformats.org/officeDocument/2006/relationships/hyperlink" Target="https://www.edufscar.com.br/farol/edufscar/ebook/visoes-da-copa-de-1970-entrevistas-de-historia-oral-com-jogadores-da-selecao/1304696/" TargetMode="External"/><Relationship Id="rId901" Type="http://schemas.openxmlformats.org/officeDocument/2006/relationships/hyperlink" Target="http://www.editora.ufpb.br/sistema/press5/index.php/UFPB/catalog/book/103" TargetMode="External"/><Relationship Id="rId900" Type="http://schemas.openxmlformats.org/officeDocument/2006/relationships/hyperlink" Target="https://www.ufpi.br/arquivos_download/arquivos/Livro_Viol%C3%AAncias_e_Resist%C3%AAncias_COMPLETO20200520211949.pdf" TargetMode="External"/><Relationship Id="rId911" Type="http://schemas.openxmlformats.org/officeDocument/2006/relationships/table" Target="../tables/table5.xml"/><Relationship Id="rId629" Type="http://schemas.openxmlformats.org/officeDocument/2006/relationships/hyperlink" Target="http://omp.ufgd.edu.br/omp/index.php/livrosabertos/catalog/view/146/198/479-1" TargetMode="External"/><Relationship Id="rId624" Type="http://schemas.openxmlformats.org/officeDocument/2006/relationships/hyperlink" Target="https://repositorio.ufsc.br/handle/123456789/188058" TargetMode="External"/><Relationship Id="rId866" Type="http://schemas.openxmlformats.org/officeDocument/2006/relationships/hyperlink" Target="http://www.editora.ufpb.br/sistema/press5/index.php/UFPB/catalog/book/521" TargetMode="External"/><Relationship Id="rId623" Type="http://schemas.openxmlformats.org/officeDocument/2006/relationships/hyperlink" Target="http://books.scielo.org/id/v4cnf/pdf/lavalle-9788575114797.pdf" TargetMode="External"/><Relationship Id="rId865" Type="http://schemas.openxmlformats.org/officeDocument/2006/relationships/hyperlink" Target="http://omp.ufgd.edu.br/omp/index.php/livrosabertos/catalog/view/22/20/66-1" TargetMode="External"/><Relationship Id="rId622" Type="http://schemas.openxmlformats.org/officeDocument/2006/relationships/hyperlink" Target="http://www.uesc.br/editora/livrosdigitais2019/movimentos_sociais_educacao_vol_1.pdf" TargetMode="External"/><Relationship Id="rId864" Type="http://schemas.openxmlformats.org/officeDocument/2006/relationships/hyperlink" Target="http://repositorio.ufes.br/bitstream/10/1531/1/Transposicoes%20lugares%20e%20fronteiras%20em%20sexualidade%20e%20educacao.pdf" TargetMode="External"/><Relationship Id="rId621" Type="http://schemas.openxmlformats.org/officeDocument/2006/relationships/hyperlink" Target="http://repositorio.ufes.br/bitstream/10/1158/1/Livro%20edufes%20movimentos%20curriculares%20um%20estudo%20de%20casos%20sobre%20pol%C3%ADticas%20de%20curr%C3%ADculo%20em%20a%C3%A7%C3%A3o.pdf" TargetMode="External"/><Relationship Id="rId863" Type="http://schemas.openxmlformats.org/officeDocument/2006/relationships/hyperlink" Target="http://omp.ufgd.edu.br/omp/index.php/livrosabertos/catalog/view/25/23/72-1" TargetMode="External"/><Relationship Id="rId628" Type="http://schemas.openxmlformats.org/officeDocument/2006/relationships/hyperlink" Target="http://omp.ufgd.edu.br/omp/index.php/livrosabertos/catalog/view/145/234/525-2" TargetMode="External"/><Relationship Id="rId627" Type="http://schemas.openxmlformats.org/officeDocument/2006/relationships/hyperlink" Target="http://repositorio.ufes.br/bitstream/10/1028/1/livro%20edufes%20mulher%20e%20genero%20em%20debate.pdf" TargetMode="External"/><Relationship Id="rId869" Type="http://schemas.openxmlformats.org/officeDocument/2006/relationships/hyperlink" Target="http://www.editora.ufpb.br/sistema/press5/index.php/UFPB/catalog/book/325" TargetMode="External"/><Relationship Id="rId626" Type="http://schemas.openxmlformats.org/officeDocument/2006/relationships/hyperlink" Target="http://campomourao.unespar.edu.br/editora/obras-digitais/mudancas-socioambientais-no-municipio-de-engenheiro-beltrao-2013parana-com-base-na-historia-de-vida-e-documentos-de-epoca" TargetMode="External"/><Relationship Id="rId868" Type="http://schemas.openxmlformats.org/officeDocument/2006/relationships/hyperlink" Target="http://www.editora.ufpb.br/sistema/press5/index.php/UFPB/catalog/book/325" TargetMode="External"/><Relationship Id="rId625" Type="http://schemas.openxmlformats.org/officeDocument/2006/relationships/hyperlink" Target="https://www.editoraargos.com.br/farol/editoraargos/ebook/movimentos-sociais-desenvolvimento-regional-e-desafios-contemporaneos/735426/" TargetMode="External"/><Relationship Id="rId867" Type="http://schemas.openxmlformats.org/officeDocument/2006/relationships/hyperlink" Target="http://www.editora.ufpb.br/sistema/press5/index.php/UFPB/catalog/book/214" TargetMode="External"/><Relationship Id="rId620" Type="http://schemas.openxmlformats.org/officeDocument/2006/relationships/hyperlink" Target="http://www.editora.ufrj.br/DynamicItems/livrosabertos-1/Movimentos-cruzados-1ed2020.pdf" TargetMode="External"/><Relationship Id="rId862" Type="http://schemas.openxmlformats.org/officeDocument/2006/relationships/hyperlink" Target="http://www.editora.ufc.br/catalogo/84-meio-ambiente/942-temas-para-a-justica-ambiental-dialogo-de-saberes-e-praxis-emancipatorias" TargetMode="External"/><Relationship Id="rId861" Type="http://schemas.openxmlformats.org/officeDocument/2006/relationships/hyperlink" Target="https://drive.google.com/file/d/1ywqdQbEdruoz68itZ8XnbN-wTKysKlRT/view" TargetMode="External"/><Relationship Id="rId860" Type="http://schemas.openxmlformats.org/officeDocument/2006/relationships/hyperlink" Target="http://www.uesc.br/editora/livrosdigitais2016/trajetoria_permanencias_transformacoes_temporo_espaciais_cidade_Camacan.pdf" TargetMode="External"/><Relationship Id="rId619" Type="http://schemas.openxmlformats.org/officeDocument/2006/relationships/hyperlink" Target="http://www.uesc.br/editora/livrosdigitais2015/modernidade_e_a_ideia.pdf" TargetMode="External"/><Relationship Id="rId618" Type="http://schemas.openxmlformats.org/officeDocument/2006/relationships/hyperlink" Target="https://www2.unifap.br/editora/files/2019/07/militarismo-e-politica-no-brasil.pdf" TargetMode="External"/><Relationship Id="rId613" Type="http://schemas.openxmlformats.org/officeDocument/2006/relationships/hyperlink" Target="http://repositorio.ufes.br/bitstream/10/853/6/livro%20edufes%20Microblog%20comunica%C3%A7%C3%A3o%20e%20relacionamento%20em%20redes%20sociais%20online.pdf" TargetMode="External"/><Relationship Id="rId855" Type="http://schemas.openxmlformats.org/officeDocument/2006/relationships/hyperlink" Target="http://eduepb.uepb.edu.br/download/trabalho-e-trabalhadores-no-nordeste/?wpdmdl=223&amp;amp;masterkey=5af9a2af83ed3" TargetMode="External"/><Relationship Id="rId612" Type="http://schemas.openxmlformats.org/officeDocument/2006/relationships/hyperlink" Target="http://eduepb.uepb.edu.br/download/michel-foucault-critico-esteta-cinico-mitigado/?wpdmdl=196&amp;amp;masterkey=5af99c50c88c2" TargetMode="External"/><Relationship Id="rId854" Type="http://schemas.openxmlformats.org/officeDocument/2006/relationships/hyperlink" Target="http://repositorio.ufes.br/handle/10/850" TargetMode="External"/><Relationship Id="rId611" Type="http://schemas.openxmlformats.org/officeDocument/2006/relationships/hyperlink" Target="http://books.scielo.org/id/ps2mx/pdf/ferraco-9788575115176.pdf" TargetMode="External"/><Relationship Id="rId853" Type="http://schemas.openxmlformats.org/officeDocument/2006/relationships/hyperlink" Target="https://www.editora.ufop.br/index.php/editora/catalog/view/148/118/387-1" TargetMode="External"/><Relationship Id="rId610" Type="http://schemas.openxmlformats.org/officeDocument/2006/relationships/hyperlink" Target="http://omp.ufgd.edu.br/omp/index.php/livrosabertos/catalog/view/226/115/393-1" TargetMode="External"/><Relationship Id="rId852" Type="http://schemas.openxmlformats.org/officeDocument/2006/relationships/hyperlink" Target="https://www2.unifap.br/editora/files/2018/05/Livro-Trabalhadores-Migra%c3%a7%c3%b5es-e-Natureza-no-Brasil-Equatorial.pdf" TargetMode="External"/><Relationship Id="rId617" Type="http://schemas.openxmlformats.org/officeDocument/2006/relationships/hyperlink" Target="http://repositorio.unesc.net/handle/1/7468" TargetMode="External"/><Relationship Id="rId859" Type="http://schemas.openxmlformats.org/officeDocument/2006/relationships/hyperlink" Target="http://www.editora.puc-rio.br/media/ebook_traje_aparencia.pdf" TargetMode="External"/><Relationship Id="rId616" Type="http://schemas.openxmlformats.org/officeDocument/2006/relationships/hyperlink" Target="http://www2.ufac.br/editora/livros/migrantes-sulistas.pdf" TargetMode="External"/><Relationship Id="rId858" Type="http://schemas.openxmlformats.org/officeDocument/2006/relationships/hyperlink" Target="https://editora.ifg.edu.br/editoraifg/catalog/view/14/13/40-1" TargetMode="External"/><Relationship Id="rId615" Type="http://schemas.openxmlformats.org/officeDocument/2006/relationships/hyperlink" Target="https://www.editoraargos.com.br/farol/editoraargos/ebook/migracion-interculturalidad-y-educacion-impactos-y-desafios/1302827/" TargetMode="External"/><Relationship Id="rId857" Type="http://schemas.openxmlformats.org/officeDocument/2006/relationships/hyperlink" Target="https://www.edufscar.com.br/farol/edufscar/ebook/tradicao-nacionalismo-e-modernidade-o-monumento-duque-de-caxias/193874/" TargetMode="External"/><Relationship Id="rId614" Type="http://schemas.openxmlformats.org/officeDocument/2006/relationships/hyperlink" Target="https://www.editoraargos.com.br/farol/editoraargos/ebook/midia-e-cidadania-complexidade-impasses-e-desafios/729094/" TargetMode="External"/><Relationship Id="rId856" Type="http://schemas.openxmlformats.org/officeDocument/2006/relationships/hyperlink" Target="http://repositorio.ufes.br/handle/10/6760" TargetMode="External"/><Relationship Id="rId851" Type="http://schemas.openxmlformats.org/officeDocument/2006/relationships/hyperlink" Target="http://eduepb.uepb.edu.br/download/tornar-se-aluno-identidade-e-pertencimento-perspectivas-etnograficas/?wpdmdl=222&amp;amp;masterkey=5af9a28f5ba21" TargetMode="External"/><Relationship Id="rId850" Type="http://schemas.openxmlformats.org/officeDocument/2006/relationships/hyperlink" Target="http://www2.ufac.br/editora/livros/TopicosEspeciaisEmGeografia.pdf" TargetMode="External"/><Relationship Id="rId409" Type="http://schemas.openxmlformats.org/officeDocument/2006/relationships/hyperlink" Target="https://www2.unifap.br/editora/files/2018/10/Estrategias-territoriales-para-la-ocupaci%c3%b3n-del-continente-sudamericano.pdf" TargetMode="External"/><Relationship Id="rId404" Type="http://schemas.openxmlformats.org/officeDocument/2006/relationships/hyperlink" Target="http://hdl.handle.net/10183/56462" TargetMode="External"/><Relationship Id="rId646" Type="http://schemas.openxmlformats.org/officeDocument/2006/relationships/hyperlink" Target="http://www.uvanet.br/edicoes_uva/gera_xml.php?arquivo=nossa_gente_nossa_historia" TargetMode="External"/><Relationship Id="rId888" Type="http://schemas.openxmlformats.org/officeDocument/2006/relationships/hyperlink" Target="http://www.editora.ufrj.br/DynamicItems/livrosabertos-1/Universidade-do-Brasil-II.pdf" TargetMode="External"/><Relationship Id="rId403" Type="http://schemas.openxmlformats.org/officeDocument/2006/relationships/hyperlink" Target="http://hdl.handle.net/10183/56463" TargetMode="External"/><Relationship Id="rId645" Type="http://schemas.openxmlformats.org/officeDocument/2006/relationships/hyperlink" Target="http://repositorio.unesc.net/handle/1/5959" TargetMode="External"/><Relationship Id="rId887" Type="http://schemas.openxmlformats.org/officeDocument/2006/relationships/hyperlink" Target="http://www.editora.ufrj.br/DynamicItems/livrosabertos-1/Universidade-do-Brasil-das-origens-a-construcao_compressed.pdf" TargetMode="External"/><Relationship Id="rId402" Type="http://schemas.openxmlformats.org/officeDocument/2006/relationships/hyperlink" Target="http://bit.ly/Estado-educacao-rural" TargetMode="External"/><Relationship Id="rId644" Type="http://schemas.openxmlformats.org/officeDocument/2006/relationships/hyperlink" Target="http://www.uesc.br/editora/livrosdigitais_20140513/nocao_social_territorio.pdf" TargetMode="External"/><Relationship Id="rId886" Type="http://schemas.openxmlformats.org/officeDocument/2006/relationships/hyperlink" Target="https://drive.google.com/file/d/1RAQ90nCnL7FyCB8srBA-Yf28mEAOx4Kb/view" TargetMode="External"/><Relationship Id="rId401" Type="http://schemas.openxmlformats.org/officeDocument/2006/relationships/hyperlink" Target="https://www.editora.ufop.br/index.php/editora/catalog/view/37/25/87-1" TargetMode="External"/><Relationship Id="rId643" Type="http://schemas.openxmlformats.org/officeDocument/2006/relationships/hyperlink" Target="https://editora.ifg.edu.br/editoraifg/catalog/view/8/7/37-1" TargetMode="External"/><Relationship Id="rId885" Type="http://schemas.openxmlformats.org/officeDocument/2006/relationships/hyperlink" Target="http://portal.unemat.br/media/files/Editora/E-book%20UNEMAT%2040%20anos%20e%20outras%20hist%C3%B3rias.pdf" TargetMode="External"/><Relationship Id="rId408" Type="http://schemas.openxmlformats.org/officeDocument/2006/relationships/hyperlink" Target="https://www.eduerj.com/eng/?product=estrategias-educacionais-diferenciadas-para-alunos-com-necessidades-especiais-ebook" TargetMode="External"/><Relationship Id="rId407" Type="http://schemas.openxmlformats.org/officeDocument/2006/relationships/hyperlink" Target="http://www.uesc.br/editora/livrosdigitais2/esteja_gosto.pdf" TargetMode="External"/><Relationship Id="rId649" Type="http://schemas.openxmlformats.org/officeDocument/2006/relationships/hyperlink" Target="http://www.uesc.br/editora/livrosdigitais2018/notas_teorico_metodologicas.pdf" TargetMode="External"/><Relationship Id="rId406" Type="http://schemas.openxmlformats.org/officeDocument/2006/relationships/hyperlink" Target="http://repositorio.ufpel.edu.br:8080/bitstream/prefix/3804/6/11_ESTAS%20TERRAS%20E%20SEUS%20DONOS_S%c3%89RIE%20P%c3%93S%20GRADUA%c3%87%c3%83O.pdf" TargetMode="External"/><Relationship Id="rId648" Type="http://schemas.openxmlformats.org/officeDocument/2006/relationships/hyperlink" Target="https://www.ufpi.br/arquivos_download/arquivos/EDUFPI/NOTAS_DE_AULA_DIALOGO_SOBREPRATICAS_DE_APRENDIZAGENS_NA_ECOLA_E_NA_UNIVERSIDADE_-_E-BOOK20180430074129.pdf" TargetMode="External"/><Relationship Id="rId405" Type="http://schemas.openxmlformats.org/officeDocument/2006/relationships/hyperlink" Target="http://eduepb.uepb.edu.br/download/estagio-supervisionado-na-formacao-docente/?wpdmdl=344&amp;amp;masterkey=5b02c2b91ad17" TargetMode="External"/><Relationship Id="rId647" Type="http://schemas.openxmlformats.org/officeDocument/2006/relationships/hyperlink" Target="http://dx.doi.org/10.18616/nrm" TargetMode="External"/><Relationship Id="rId889" Type="http://schemas.openxmlformats.org/officeDocument/2006/relationships/hyperlink" Target="http://hdl.handle.net/10183/213318" TargetMode="External"/><Relationship Id="rId880" Type="http://schemas.openxmlformats.org/officeDocument/2006/relationships/hyperlink" Target="http://www.uesc.br/editora/livrosdigitais2016/uma-dobra-no-tempo.pdf" TargetMode="External"/><Relationship Id="rId400" Type="http://schemas.openxmlformats.org/officeDocument/2006/relationships/hyperlink" Target="http://www.uvanet.br/edicoes_uva/gera_xml.php?arquivo=espaco_cultura_memoria" TargetMode="External"/><Relationship Id="rId642" Type="http://schemas.openxmlformats.org/officeDocument/2006/relationships/hyperlink" Target="http://omp.ufgd.edu.br/omp/index.php/livrosabertos/catalog/view/150/195/476-1" TargetMode="External"/><Relationship Id="rId884" Type="http://schemas.openxmlformats.org/officeDocument/2006/relationships/hyperlink" Target="http://eduepb.uepb.edu.br/download/uma-vida-e-muitas-lutas/?wpdmdl=921&amp;" TargetMode="External"/><Relationship Id="rId641" Type="http://schemas.openxmlformats.org/officeDocument/2006/relationships/hyperlink" Target="http://www.uvanet.br/edicoes_uva/gera_xml.php?arquivo=trilhas_do_sertao" TargetMode="External"/><Relationship Id="rId883" Type="http://schemas.openxmlformats.org/officeDocument/2006/relationships/hyperlink" Target="http://www.editora.ufpb.br/sistema/press5/index.php/UFPB/catalog/book/272" TargetMode="External"/><Relationship Id="rId640" Type="http://schemas.openxmlformats.org/officeDocument/2006/relationships/hyperlink" Target="http://repositorio.ufes.br/bitstream/10/1227/1/Livro%20edufes%20Nas%20rotas%20do%20Imp%C3%A9rio%20eixos%20mercantis%2C%20tr%C3%A1fico%20e%20rela%C3%A7%C3%B5es%20sociais%20no%20mundo%20portugu%C3%AAs.pdf" TargetMode="External"/><Relationship Id="rId882" Type="http://schemas.openxmlformats.org/officeDocument/2006/relationships/hyperlink" Target="http://books.scielo.org/id/wy7ft/pdf/rosendahl-9788575115015.pdf" TargetMode="External"/><Relationship Id="rId881" Type="http://schemas.openxmlformats.org/officeDocument/2006/relationships/hyperlink" Target="http://repositorio.unesc.net/handle/1/7631" TargetMode="External"/><Relationship Id="rId635" Type="http://schemas.openxmlformats.org/officeDocument/2006/relationships/hyperlink" Target="https://editora.ifg.edu.br/editoraifg/catalog/view/9/8/36-1" TargetMode="External"/><Relationship Id="rId877" Type="http://schemas.openxmlformats.org/officeDocument/2006/relationships/hyperlink" Target="http://eduepb.uepb.edu.br/download/um-convite-a-utopia/?wpdmdl=227&amp;amp;masterkey=5af9a32d87a3e" TargetMode="External"/><Relationship Id="rId634" Type="http://schemas.openxmlformats.org/officeDocument/2006/relationships/hyperlink" Target="http://www.editora.puc-rio.br/media/ebook_historias_de_vida_e_memoria_social" TargetMode="External"/><Relationship Id="rId876" Type="http://schemas.openxmlformats.org/officeDocument/2006/relationships/hyperlink" Target="http://repositorio.ufes.br/handle/10/852" TargetMode="External"/><Relationship Id="rId633" Type="http://schemas.openxmlformats.org/officeDocument/2006/relationships/hyperlink" Target="https://www.eduerj.com/eng/?product=municipio-de-barra-do-pirai" TargetMode="External"/><Relationship Id="rId875" Type="http://schemas.openxmlformats.org/officeDocument/2006/relationships/hyperlink" Target="http://repositorio.ufes.br/handle/10/1029" TargetMode="External"/><Relationship Id="rId632" Type="http://schemas.openxmlformats.org/officeDocument/2006/relationships/hyperlink" Target="http://omp.ufgd.edu.br/omp/index.php/livrosabertos/catalog/view/147/197/478-1" TargetMode="External"/><Relationship Id="rId874" Type="http://schemas.openxmlformats.org/officeDocument/2006/relationships/hyperlink" Target="http://www.uems.br/assets/uploads/editora/arquivos/1_2019-09-30_13-27-22.pdf" TargetMode="External"/><Relationship Id="rId639" Type="http://schemas.openxmlformats.org/officeDocument/2006/relationships/hyperlink" Target="http://editora.metodista.br/livros-gratis/narrativas.pdf/at_download/file" TargetMode="External"/><Relationship Id="rId638" Type="http://schemas.openxmlformats.org/officeDocument/2006/relationships/hyperlink" Target="http://www.editora.ufpb.br/sistema/press5/index.php/UFPB/catalog/book/196" TargetMode="External"/><Relationship Id="rId637" Type="http://schemas.openxmlformats.org/officeDocument/2006/relationships/hyperlink" Target="http://omp.ufgd.edu.br/omp/index.php/livrosabertos/catalog/view/149/196/477-1" TargetMode="External"/><Relationship Id="rId879" Type="http://schemas.openxmlformats.org/officeDocument/2006/relationships/hyperlink" Target="http://www.uesc.br/editora/livrosdigitais2/um_lugar_na_historia_digital.pdf" TargetMode="External"/><Relationship Id="rId636" Type="http://schemas.openxmlformats.org/officeDocument/2006/relationships/hyperlink" Target="http://www.uesc.br/editora/livrosdigitais2016/miolo_na_beleza_do_lugar.pdf" TargetMode="External"/><Relationship Id="rId878" Type="http://schemas.openxmlformats.org/officeDocument/2006/relationships/hyperlink" Target="http://eduepb.uepb.edu.br/download/utopia-volume-2/?wpdmdl=833&amp;" TargetMode="External"/><Relationship Id="rId631" Type="http://schemas.openxmlformats.org/officeDocument/2006/relationships/hyperlink" Target="http://cdn.ueg.edu.br/source/editora_ueg/conteudo_compartilhado/10968/ebook_multitecas/ebook_multitecas_de_estantes_a_instantes_2019.pdf" TargetMode="External"/><Relationship Id="rId873" Type="http://schemas.openxmlformats.org/officeDocument/2006/relationships/hyperlink" Target="http://eduepb.uepb.edu.br/download/uama-oito-anos-de-educacao-incusiva-e-transformadora/?wpdmdl=225&amp;amp;masterkey=5af9a2f909be9" TargetMode="External"/><Relationship Id="rId630" Type="http://schemas.openxmlformats.org/officeDocument/2006/relationships/hyperlink" Target="http://www.editora.puc-rio.br/media/mulheres%20no%20campo%20de%20marte%20miolo.pdf" TargetMode="External"/><Relationship Id="rId872" Type="http://schemas.openxmlformats.org/officeDocument/2006/relationships/hyperlink" Target="https://www.eduerj.com/eng/?product=turismo-e-territorio-no-brasil-e-na-italia-novas-perspectivas-novos-desafios-ebook" TargetMode="External"/><Relationship Id="rId871" Type="http://schemas.openxmlformats.org/officeDocument/2006/relationships/hyperlink" Target="http://books.scielo.org/id/z9wz8/pdf/marafon-9788575114452.pdf" TargetMode="External"/><Relationship Id="rId870" Type="http://schemas.openxmlformats.org/officeDocument/2006/relationships/hyperlink" Target="https://www2.unifap.br/editora/files/2018/05/E-book-completo-compressed.pdf" TargetMode="External"/><Relationship Id="rId829" Type="http://schemas.openxmlformats.org/officeDocument/2006/relationships/hyperlink" Target="http://www.uvanet.br/edicoes_uva/gera_xml.php?arquivo=taperuaba" TargetMode="External"/><Relationship Id="rId828" Type="http://schemas.openxmlformats.org/officeDocument/2006/relationships/hyperlink" Target="https://www.fundaj.gov.br/images/stories/editora/livros/livro_suape_portal.pdf" TargetMode="External"/><Relationship Id="rId827" Type="http://schemas.openxmlformats.org/officeDocument/2006/relationships/hyperlink" Target="http://www.editora.puc-rio.br/media/Spinoza%20-%20vol2.pdf" TargetMode="External"/><Relationship Id="rId822" Type="http://schemas.openxmlformats.org/officeDocument/2006/relationships/hyperlink" Target="http://hdl.handle.net/10183/213312" TargetMode="External"/><Relationship Id="rId821" Type="http://schemas.openxmlformats.org/officeDocument/2006/relationships/hyperlink" Target="https://paginas.uepa.br/eduepa/wp-content/uploads/2019/06/SOCIEDADES-E-SABERES-DA-AMAZONIA.pdf" TargetMode="External"/><Relationship Id="rId820" Type="http://schemas.openxmlformats.org/officeDocument/2006/relationships/hyperlink" Target="http://editora.ifpb.edu.br/index.php/ifpb/catalog/book/52" TargetMode="External"/><Relationship Id="rId826" Type="http://schemas.openxmlformats.org/officeDocument/2006/relationships/hyperlink" Target="http://www.editora.puc-rio.br/media/Spinoza%20-%20vol1.pdf" TargetMode="External"/><Relationship Id="rId825" Type="http://schemas.openxmlformats.org/officeDocument/2006/relationships/hyperlink" Target="http://www.uesc.br/editora/livrosdigitais/solo_trombone.pdf" TargetMode="External"/><Relationship Id="rId824" Type="http://schemas.openxmlformats.org/officeDocument/2006/relationships/hyperlink" Target="http://omp.ufgd.edu.br/omp/index.php/livrosabertos/catalog/view/47/47/123-2" TargetMode="External"/><Relationship Id="rId823" Type="http://schemas.openxmlformats.org/officeDocument/2006/relationships/hyperlink" Target="https://repositorio.ufsc.br/handle/123456789/187672" TargetMode="External"/><Relationship Id="rId819" Type="http://schemas.openxmlformats.org/officeDocument/2006/relationships/hyperlink" Target="http://eduepb.uepb.edu.br/download/sociedade-natureza-compartilhando-ideias-desenvolvendo-sensibilidades/?wpdmdl=903&amp;" TargetMode="External"/><Relationship Id="rId818" Type="http://schemas.openxmlformats.org/officeDocument/2006/relationships/hyperlink" Target="http://omp.ufgd.edu.br/omp/index.php/livrosabertos/catalog/view/48/48/126-1" TargetMode="External"/><Relationship Id="rId817" Type="http://schemas.openxmlformats.org/officeDocument/2006/relationships/hyperlink" Target="https://www2.unifap.br/editora/files/2014/12/E-book_Sob_os_olhos_da_critica.pdf" TargetMode="External"/><Relationship Id="rId816" Type="http://schemas.openxmlformats.org/officeDocument/2006/relationships/hyperlink" Target="http://eduepb.uepb.edu.br/download/silenciosos-e-adoraveis-alunos/?wpdmdl=762&amp;amp;masterkey=5d249550a58f7" TargetMode="External"/><Relationship Id="rId811" Type="http://schemas.openxmlformats.org/officeDocument/2006/relationships/hyperlink" Target="https://www.eduerj.com/eng/?product=sem-vieira-nem-pombal-indios-na-amazonia-do-seculo-xix-ebook" TargetMode="External"/><Relationship Id="rId810" Type="http://schemas.openxmlformats.org/officeDocument/2006/relationships/hyperlink" Target="https://repositorio.ufsc.br/handle/123456789/187669" TargetMode="External"/><Relationship Id="rId815" Type="http://schemas.openxmlformats.org/officeDocument/2006/relationships/hyperlink" Target="http://www.editora.puc-rio.br/media/Servidor%20da%20mesa%20da%20Palavra%20de%20Deus.pdf" TargetMode="External"/><Relationship Id="rId814" Type="http://schemas.openxmlformats.org/officeDocument/2006/relationships/hyperlink" Target="http://www.editora.ufpb.br/sistema/press5/index.php/UFPB/catalog/book/235" TargetMode="External"/><Relationship Id="rId813" Type="http://schemas.openxmlformats.org/officeDocument/2006/relationships/hyperlink" Target="https://www.unoesc.edu.br/images/uploads/editora/Semin%c3%a1rio_Rede_Mapa.pdf" TargetMode="External"/><Relationship Id="rId812" Type="http://schemas.openxmlformats.org/officeDocument/2006/relationships/hyperlink" Target="http://hdl.handle.net/10183/52802" TargetMode="External"/><Relationship Id="rId609" Type="http://schemas.openxmlformats.org/officeDocument/2006/relationships/hyperlink" Target="http://hdl.handle.net/10183/52806" TargetMode="External"/><Relationship Id="rId608" Type="http://schemas.openxmlformats.org/officeDocument/2006/relationships/hyperlink" Target="http://www.editora.puc-rio.br/media/Metodologias_e_RI_volume-2%20(1).pdf" TargetMode="External"/><Relationship Id="rId607" Type="http://schemas.openxmlformats.org/officeDocument/2006/relationships/hyperlink" Target="https://www.eduerj.com/eng/?product=metafisica-e-conhecimento-ensaios-sobre-descartes-e-espinosa-ebook" TargetMode="External"/><Relationship Id="rId849" Type="http://schemas.openxmlformats.org/officeDocument/2006/relationships/hyperlink" Target="http://omp.ufgd.edu.br/omp/index.php/livrosabertos/catalog/view/37/27/89-1" TargetMode="External"/><Relationship Id="rId602" Type="http://schemas.openxmlformats.org/officeDocument/2006/relationships/hyperlink" Target="http://www.uesc.br/editora/livrosdigitais/memoria_e_identidade.pdf" TargetMode="External"/><Relationship Id="rId844" Type="http://schemas.openxmlformats.org/officeDocument/2006/relationships/hyperlink" Target="http://editora.metodista.br/livros-gratis/Teoria%20Critica.pdf/at_download/file" TargetMode="External"/><Relationship Id="rId601" Type="http://schemas.openxmlformats.org/officeDocument/2006/relationships/hyperlink" Target="http://www.casaruibarbosa.gov.br/arquivos/file/Mem%C3%B3ria%20de%20um%20jardim%20OCR.pdf" TargetMode="External"/><Relationship Id="rId843" Type="http://schemas.openxmlformats.org/officeDocument/2006/relationships/hyperlink" Target="http://eduepb.uepb.edu.br/download/teologia-do-riso/?wpdmdl=221&amp;amp;masterkey=5af9a25c5892a" TargetMode="External"/><Relationship Id="rId600" Type="http://schemas.openxmlformats.org/officeDocument/2006/relationships/hyperlink" Target="https://www.editora.ufop.br/index.php/editora/catalog/view/107/83/270-1" TargetMode="External"/><Relationship Id="rId842" Type="http://schemas.openxmlformats.org/officeDocument/2006/relationships/hyperlink" Target="http://www.editora.ufpb.br/sistema/press5/index.php/UFPB/catalog/book/284" TargetMode="External"/><Relationship Id="rId841" Type="http://schemas.openxmlformats.org/officeDocument/2006/relationships/hyperlink" Target="https://editora.ifc.edu.br/2019/04/01/tempos-e-espacos-de-formacao-docente-e-inovacao-pedagogica/" TargetMode="External"/><Relationship Id="rId606" Type="http://schemas.openxmlformats.org/officeDocument/2006/relationships/hyperlink" Target="http://omp.ufgd.edu.br/omp/index.php/livrosabertos/catalog/view/143/200/481-1" TargetMode="External"/><Relationship Id="rId848" Type="http://schemas.openxmlformats.org/officeDocument/2006/relationships/hyperlink" Target="http://omp.ufgd.edu.br/omp/index.php/livrosabertos/catalog/view/38/28/91-1" TargetMode="External"/><Relationship Id="rId605" Type="http://schemas.openxmlformats.org/officeDocument/2006/relationships/hyperlink" Target="http://repositorio.unesc.net/handle/1/5500" TargetMode="External"/><Relationship Id="rId847" Type="http://schemas.openxmlformats.org/officeDocument/2006/relationships/hyperlink" Target="http://www.eduff.uff.br/ebooks/Terras-lusas.pdf" TargetMode="External"/><Relationship Id="rId604" Type="http://schemas.openxmlformats.org/officeDocument/2006/relationships/hyperlink" Target="https://paginas.uepa.br/eduepa/wp-content/uploads/2019/10/memorias_eja.pdf" TargetMode="External"/><Relationship Id="rId846" Type="http://schemas.openxmlformats.org/officeDocument/2006/relationships/hyperlink" Target="http://omp.ufgd.edu.br/omp/index.php/livrosabertos/catalog/view/41/31/97-1" TargetMode="External"/><Relationship Id="rId603" Type="http://schemas.openxmlformats.org/officeDocument/2006/relationships/hyperlink" Target="http://omp.ufgd.edu.br/omp/index.php/livrosabertos/catalog/view/241/122/400-1" TargetMode="External"/><Relationship Id="rId845" Type="http://schemas.openxmlformats.org/officeDocument/2006/relationships/hyperlink" Target="https://www.editora.ufop.br/index.php/editora/catalog/view/46/32/108-1" TargetMode="External"/><Relationship Id="rId840" Type="http://schemas.openxmlformats.org/officeDocument/2006/relationships/hyperlink" Target="http://omp.ufgd.edu.br/omp/index.php/livrosabertos/catalog/view/43/33/102-2" TargetMode="External"/><Relationship Id="rId839" Type="http://schemas.openxmlformats.org/officeDocument/2006/relationships/hyperlink" Target="http://omp.ufgd.edu.br/omp/index.php/livrosabertos/catalog/view/44/35/105-1" TargetMode="External"/><Relationship Id="rId838" Type="http://schemas.openxmlformats.org/officeDocument/2006/relationships/hyperlink" Target="https://www.fundaj.gov.br/images/stories/editora/livros/tempos_de_folia.pdf" TargetMode="External"/><Relationship Id="rId833" Type="http://schemas.openxmlformats.org/officeDocument/2006/relationships/hyperlink" Target="https://www.eduerj.com/eng/?product=temas-em-geografia-rural-2" TargetMode="External"/><Relationship Id="rId832" Type="http://schemas.openxmlformats.org/officeDocument/2006/relationships/hyperlink" Target="http://repositorio.ufes.br/bitstream/10/1137/1/Livro%20Edufes%20Tecnologia%20objetividade%20e%20supera%C3%A7%C3%A3o%20da%20metaf%C3%ADsica.pdf" TargetMode="External"/><Relationship Id="rId831" Type="http://schemas.openxmlformats.org/officeDocument/2006/relationships/hyperlink" Target="http://www.editora.puc-rio.br/media/T%C3%A9cnicos_intelectuais_e_pol%C3%ADticos%20final.pdf" TargetMode="External"/><Relationship Id="rId830" Type="http://schemas.openxmlformats.org/officeDocument/2006/relationships/hyperlink" Target="http://www.editora.ufpb.br/sistema/press5/index.php/UFPB/catalog/book/156" TargetMode="External"/><Relationship Id="rId837" Type="http://schemas.openxmlformats.org/officeDocument/2006/relationships/hyperlink" Target="http://hdl.handle.net/10183/52805" TargetMode="External"/><Relationship Id="rId836" Type="http://schemas.openxmlformats.org/officeDocument/2006/relationships/hyperlink" Target="http://omp.ufgd.edu.br/omp/index.php/livrosabertos/catalog/view/233/107/383-1" TargetMode="External"/><Relationship Id="rId835" Type="http://schemas.openxmlformats.org/officeDocument/2006/relationships/hyperlink" Target="http://omp.ufgd.edu.br/omp/index.php/livrosabertos/catalog/view/46/43/115-1" TargetMode="External"/><Relationship Id="rId834" Type="http://schemas.openxmlformats.org/officeDocument/2006/relationships/hyperlink" Target="http://omp.ufgd.edu.br/omp/index.php/livrosabertos/catalog/view/232/108/384-2" TargetMode="External"/><Relationship Id="rId228" Type="http://schemas.openxmlformats.org/officeDocument/2006/relationships/hyperlink" Target="http://www.editora.ufrj.br/DynamicItems/livrosabertos-1/Cor-e-criminalidade.pdf" TargetMode="External"/><Relationship Id="rId227" Type="http://schemas.openxmlformats.org/officeDocument/2006/relationships/hyperlink" Target="https://www.eduerj.com/eng/?product=copas-do-mundo-comunicacao-e-identidade-cultural-no-pais-do-futebol-2" TargetMode="External"/><Relationship Id="rId469" Type="http://schemas.openxmlformats.org/officeDocument/2006/relationships/hyperlink" Target="https://hdl.handle.net/1884/63935" TargetMode="External"/><Relationship Id="rId226" Type="http://schemas.openxmlformats.org/officeDocument/2006/relationships/hyperlink" Target="http://www2.ufac.br/editora/livros/coordenacao-pedagogica.pdf" TargetMode="External"/><Relationship Id="rId468" Type="http://schemas.openxmlformats.org/officeDocument/2006/relationships/hyperlink" Target="https://www.eduerj.com/eng/?product=franciscanos-no-brasil-protagonismos-na-educacao-na-historia-e-na-politica" TargetMode="External"/><Relationship Id="rId225" Type="http://schemas.openxmlformats.org/officeDocument/2006/relationships/hyperlink" Target="http://www.uvanet.br/edicoes_uva/gera_xml.php?arquivo=conversando_patrimonio" TargetMode="External"/><Relationship Id="rId467" Type="http://schemas.openxmlformats.org/officeDocument/2006/relationships/hyperlink" Target="http://eduepb.uepb.edu.br/download/foucault-e-a-educacao/?wpdmdl=1102&amp;" TargetMode="External"/><Relationship Id="rId229" Type="http://schemas.openxmlformats.org/officeDocument/2006/relationships/hyperlink" Target="http://www.editora.puc-rio.br/media/ebook%20corpo%20e%20consumo%20180517.pdf" TargetMode="External"/><Relationship Id="rId220" Type="http://schemas.openxmlformats.org/officeDocument/2006/relationships/hyperlink" Target="http://www.eduff.uff.br/ebooks/Consultor-e-cliente.pdf" TargetMode="External"/><Relationship Id="rId462" Type="http://schemas.openxmlformats.org/officeDocument/2006/relationships/hyperlink" Target="http://campomourao.unespar.edu.br/editora/obras-digitais/formacao-humana-espacos-e-representacoes" TargetMode="External"/><Relationship Id="rId461" Type="http://schemas.openxmlformats.org/officeDocument/2006/relationships/hyperlink" Target="http://omp.ufgd.edu.br/omp/index.php/livrosabertos/catalog/view/248/244/533-1" TargetMode="External"/><Relationship Id="rId460" Type="http://schemas.openxmlformats.org/officeDocument/2006/relationships/hyperlink" Target="http://repositorio.ufpel.edu.br:8080/handle/prefix/3803" TargetMode="External"/><Relationship Id="rId224" Type="http://schemas.openxmlformats.org/officeDocument/2006/relationships/hyperlink" Target="https://www.editora.ufop.br/index.php/editora/catalog/view/56/41/136-1" TargetMode="External"/><Relationship Id="rId466" Type="http://schemas.openxmlformats.org/officeDocument/2006/relationships/hyperlink" Target="http://www.editora.ufpb.br/sistema/press5/index.php/UFPB/catalog/book/136" TargetMode="External"/><Relationship Id="rId223" Type="http://schemas.openxmlformats.org/officeDocument/2006/relationships/hyperlink" Target="https://www.editora.ufop.br/index.php/editora/catalog/view/117/92/298-1" TargetMode="External"/><Relationship Id="rId465" Type="http://schemas.openxmlformats.org/officeDocument/2006/relationships/hyperlink" Target="http://omp.ufgd.edu.br/omp/index.php/livrosabertos/catalog/view/107/231/512-1" TargetMode="External"/><Relationship Id="rId222" Type="http://schemas.openxmlformats.org/officeDocument/2006/relationships/hyperlink" Target="http://omp.ufgd.edu.br/omp/index.php/livrosabertos/catalog/view/331/262/2485-1" TargetMode="External"/><Relationship Id="rId464" Type="http://schemas.openxmlformats.org/officeDocument/2006/relationships/hyperlink" Target="http://omp.ufgd.edu.br/omp/index.php/livrosabertos/catalog/view/249/245/535-1" TargetMode="External"/><Relationship Id="rId221" Type="http://schemas.openxmlformats.org/officeDocument/2006/relationships/hyperlink" Target="http://eduepb.uepb.edu.br/download/contemplatio-ensaios-de-filosofia-medieval/?wpdmdl=178&amp;amp;masterkey=5af999872c3eb" TargetMode="External"/><Relationship Id="rId463" Type="http://schemas.openxmlformats.org/officeDocument/2006/relationships/hyperlink" Target="https://www2.unifap.br/editora/files/2019/02/Formacao-de-professores-de-lingua-estrangeira.pdf" TargetMode="External"/><Relationship Id="rId217" Type="http://schemas.openxmlformats.org/officeDocument/2006/relationships/hyperlink" Target="https://www.ufpi.br/arquivos_download/arquivos/Ebook_Direitos_Humamos_-_vers%C3%A3o_17-04-202020200422173935.pdf" TargetMode="External"/><Relationship Id="rId459" Type="http://schemas.openxmlformats.org/officeDocument/2006/relationships/hyperlink" Target="http://bit.ly/Formacao-de-professores" TargetMode="External"/><Relationship Id="rId216" Type="http://schemas.openxmlformats.org/officeDocument/2006/relationships/hyperlink" Target="http://ufrr.br/editora/index.php/editais?download=408:o-vale-do-rio-branco" TargetMode="External"/><Relationship Id="rId458" Type="http://schemas.openxmlformats.org/officeDocument/2006/relationships/hyperlink" Target="http://omp.ufgd.edu.br/omp/index.php/livrosabertos/catalog/view/220/132/412-1" TargetMode="External"/><Relationship Id="rId215" Type="http://schemas.openxmlformats.org/officeDocument/2006/relationships/hyperlink" Target="http://omp.ufgd.edu.br/omp/index.php/livrosabertos/catalog/view/236/127/407-1" TargetMode="External"/><Relationship Id="rId457" Type="http://schemas.openxmlformats.org/officeDocument/2006/relationships/hyperlink" Target="http://repositorio.ufes.br:8080/bitstream/10/11426/1/Formacao%20de%20professores%2C%20praticas%20pedagogicas%20e%20inclusao%20escolar.pdf" TargetMode="External"/><Relationship Id="rId699" Type="http://schemas.openxmlformats.org/officeDocument/2006/relationships/hyperlink" Target="http://omp.ufgd.edu.br/omp/index.php/livrosabertos/catalog/view/163/182/463-1" TargetMode="External"/><Relationship Id="rId214" Type="http://schemas.openxmlformats.org/officeDocument/2006/relationships/hyperlink" Target="https://hdl.handle.net/1884/67107" TargetMode="External"/><Relationship Id="rId456" Type="http://schemas.openxmlformats.org/officeDocument/2006/relationships/hyperlink" Target="http://books.scielo.org/id/ngnq4/pdf/sangenis-9788575114841.pdf" TargetMode="External"/><Relationship Id="rId698" Type="http://schemas.openxmlformats.org/officeDocument/2006/relationships/hyperlink" Target="http://www.editora.puc-rio.br/media/ebook_outras_mulheres.pdf" TargetMode="External"/><Relationship Id="rId219" Type="http://schemas.openxmlformats.org/officeDocument/2006/relationships/hyperlink" Target="http://campomourao.unespar.edu.br/editora/obras-digitais/condicoes-perifericas-desenvolvimento-geografico-desigual-no-parana" TargetMode="External"/><Relationship Id="rId218" Type="http://schemas.openxmlformats.org/officeDocument/2006/relationships/hyperlink" Target="http://anais.uesb.br/index.php/EVE/article/viewFile/9491/9301" TargetMode="External"/><Relationship Id="rId451" Type="http://schemas.openxmlformats.org/officeDocument/2006/relationships/hyperlink" Target="http://hdl.handle.net/10183/189275" TargetMode="External"/><Relationship Id="rId693" Type="http://schemas.openxmlformats.org/officeDocument/2006/relationships/hyperlink" Target="http://omp.ufgd.edu.br/omp/index.php/livrosabertos/catalog/view/160/185/466-1" TargetMode="External"/><Relationship Id="rId450" Type="http://schemas.openxmlformats.org/officeDocument/2006/relationships/hyperlink" Target="http://omp.ufgd.edu.br/omp/index.php/livrosabertos/catalog/view/106/235/517-1" TargetMode="External"/><Relationship Id="rId692" Type="http://schemas.openxmlformats.org/officeDocument/2006/relationships/hyperlink" Target="https://portal-archipelagus.azurewebsites.net/farol/eduepg/ebook/os-jovens-e-a-historia-brasil-e-america-do-sul/562999/" TargetMode="External"/><Relationship Id="rId691" Type="http://schemas.openxmlformats.org/officeDocument/2006/relationships/hyperlink" Target="https://portal-archipelagus.azurewebsites.net/farol/eduepg/ebook/os-impasses-do-estado-capitalista-uma-analise-sobre-a-reforma-do-estado-no-brasil/34258/" TargetMode="External"/><Relationship Id="rId690" Type="http://schemas.openxmlformats.org/officeDocument/2006/relationships/hyperlink" Target="http://eduepb.uepb.edu.br/download/os-dizeres-do-silencio/?wpdmdl=394&amp;amp;masterkey=5b2281970c1fa" TargetMode="External"/><Relationship Id="rId213" Type="http://schemas.openxmlformats.org/officeDocument/2006/relationships/hyperlink" Target="http://repositorio.ufba.br/ri/handle/ri/16683" TargetMode="External"/><Relationship Id="rId455" Type="http://schemas.openxmlformats.org/officeDocument/2006/relationships/hyperlink" Target="http://www2.ufac.br/editora/livros/formacao-de-professores-no-pibid-ufac.pdf" TargetMode="External"/><Relationship Id="rId697" Type="http://schemas.openxmlformats.org/officeDocument/2006/relationships/hyperlink" Target="http://www.uesc.br/editora/livrosdigitais2016/os_trabalhos_de_campo_no_ensino_de_geografia.pdf" TargetMode="External"/><Relationship Id="rId212" Type="http://schemas.openxmlformats.org/officeDocument/2006/relationships/hyperlink" Target="http://www.editora.ufpb.br/sistema/press5/index.php/UFPB/catalog/book/112" TargetMode="External"/><Relationship Id="rId454" Type="http://schemas.openxmlformats.org/officeDocument/2006/relationships/hyperlink" Target="https://www.editoraargos.com.br/farol/editoraargos/ebook/formacao-de-professores-a-distancia-na-perspectiva-dos-gestores-escolares/1205432/" TargetMode="External"/><Relationship Id="rId696" Type="http://schemas.openxmlformats.org/officeDocument/2006/relationships/hyperlink" Target="http://omp.ufgd.edu.br/omp/index.php/livrosabertos/catalog/view/162/183/464-1" TargetMode="External"/><Relationship Id="rId211" Type="http://schemas.openxmlformats.org/officeDocument/2006/relationships/hyperlink" Target="http://bit.ly/Cadernos-Creche-UFF" TargetMode="External"/><Relationship Id="rId453" Type="http://schemas.openxmlformats.org/officeDocument/2006/relationships/hyperlink" Target="http://omp.ufgd.edu.br/omp/index.php/livrosabertos/catalog/view/219/133/413-3" TargetMode="External"/><Relationship Id="rId695" Type="http://schemas.openxmlformats.org/officeDocument/2006/relationships/hyperlink" Target="http://omp.ufgd.edu.br/omp/index.php/livrosabertos/catalog/view/161/184/465-1" TargetMode="External"/><Relationship Id="rId210" Type="http://schemas.openxmlformats.org/officeDocument/2006/relationships/hyperlink" Target="http://editora.metodista.br/livros-gratis/extensaoeacaocomunitaria.pdf/at_download/file" TargetMode="External"/><Relationship Id="rId452" Type="http://schemas.openxmlformats.org/officeDocument/2006/relationships/hyperlink" Target="http://editora.ifpb.edu.br/index.php/ifpb/catalog/book/353" TargetMode="External"/><Relationship Id="rId694" Type="http://schemas.openxmlformats.org/officeDocument/2006/relationships/hyperlink" Target="http://www.editora.ufpb.br/sistema/press5/index.php/UFPB/catalog/book/101" TargetMode="External"/><Relationship Id="rId491" Type="http://schemas.openxmlformats.org/officeDocument/2006/relationships/hyperlink" Target="http://www.uesc.br/editora/livrosdigitais2015/grapiunidades.pdf" TargetMode="External"/><Relationship Id="rId490" Type="http://schemas.openxmlformats.org/officeDocument/2006/relationships/hyperlink" Target="http://omp.ufgd.edu.br/omp/index.php/livrosabertos/catalog/view/155/190/471-1" TargetMode="External"/><Relationship Id="rId249" Type="http://schemas.openxmlformats.org/officeDocument/2006/relationships/hyperlink" Target="https://www.ufcspa.edu.br/editora_log/download.php?cod=008&amp;tipo=pdf" TargetMode="External"/><Relationship Id="rId248" Type="http://schemas.openxmlformats.org/officeDocument/2006/relationships/hyperlink" Target="https://www.eduerj.com/eng/?product=da-genese-aos-compromissos-uma-historia-da-uerj-1950-1978" TargetMode="External"/><Relationship Id="rId247" Type="http://schemas.openxmlformats.org/officeDocument/2006/relationships/hyperlink" Target="https://editora.ifc.edu.br/2019/07/16/da-escola-de-iniciacao-agricola-ao-instituto-federal-catarinense/" TargetMode="External"/><Relationship Id="rId489" Type="http://schemas.openxmlformats.org/officeDocument/2006/relationships/hyperlink" Target="http://repositorio.ufes.br/bitstream/10/6982/1/Livro%20digital_Giramundos.pdf" TargetMode="External"/><Relationship Id="rId242" Type="http://schemas.openxmlformats.org/officeDocument/2006/relationships/hyperlink" Target="http://bit.ly/Curriculo-docencia-e-cultura" TargetMode="External"/><Relationship Id="rId484" Type="http://schemas.openxmlformats.org/officeDocument/2006/relationships/hyperlink" Target="http://www.eduff.uff.br/ebooks/Geografias-patrias.pdf" TargetMode="External"/><Relationship Id="rId241" Type="http://schemas.openxmlformats.org/officeDocument/2006/relationships/hyperlink" Target="http://www2.ufac.br/editora/livros/curriculo-e-interdisciplinaridade.pdf" TargetMode="External"/><Relationship Id="rId483" Type="http://schemas.openxmlformats.org/officeDocument/2006/relationships/hyperlink" Target="http://campomourao.unespar.edu.br/editora/obras-digitais/geografia-reflexoes-e-praticas" TargetMode="External"/><Relationship Id="rId240" Type="http://schemas.openxmlformats.org/officeDocument/2006/relationships/hyperlink" Target="https://www.ufpi.br/arquivos_download/arquivos/livro_digital1_120200609161144.pdf" TargetMode="External"/><Relationship Id="rId482" Type="http://schemas.openxmlformats.org/officeDocument/2006/relationships/hyperlink" Target="http://www.uesc.br/editora/livrosdigitais2017/geografia_pesquisa_ensino.pdf" TargetMode="External"/><Relationship Id="rId481" Type="http://schemas.openxmlformats.org/officeDocument/2006/relationships/hyperlink" Target="http://www.editora.puc-rio.br/media/geografia%20historica%20do%20cafe%20no%20vale%20do%20rio%20paraiba%20do%20sul.pdf" TargetMode="External"/><Relationship Id="rId246" Type="http://schemas.openxmlformats.org/officeDocument/2006/relationships/hyperlink" Target="https://docs.wixstatic.com/ugd/719689_94a3090388ff44428ed669d81b8006ad.pdf" TargetMode="External"/><Relationship Id="rId488" Type="http://schemas.openxmlformats.org/officeDocument/2006/relationships/hyperlink" Target="http://eduepb.uepb.edu.br/download/gilberto-freyre-e-jose-lins-do-rego-dialogos-do-senhor-da-casa-grande-com-o-menino-de-engenho/?wpdmdl=186&amp;amp;masterkey=5af99b4d3cc50" TargetMode="External"/><Relationship Id="rId245" Type="http://schemas.openxmlformats.org/officeDocument/2006/relationships/hyperlink" Target="http://www.editora.puc-rio.br/media/ebook_pre-vestibulares.pdf" TargetMode="External"/><Relationship Id="rId487" Type="http://schemas.openxmlformats.org/officeDocument/2006/relationships/hyperlink" Target="https://repositorio.ufsc.br/handle/123456789/187615" TargetMode="External"/><Relationship Id="rId244" Type="http://schemas.openxmlformats.org/officeDocument/2006/relationships/hyperlink" Target="http://www.edufu.ufu.br/sites/edufu.ufu.br/files/e-book_curso_basico_educacao_especial_v1_0.pdf" TargetMode="External"/><Relationship Id="rId486" Type="http://schemas.openxmlformats.org/officeDocument/2006/relationships/hyperlink" Target="http://www.editora.ufpb.br/sistema/press5/index.php/UFPB/catalog/book/122" TargetMode="External"/><Relationship Id="rId243" Type="http://schemas.openxmlformats.org/officeDocument/2006/relationships/hyperlink" Target="http://repositorio.ufes.br/bitstream/10/821/1/livro%20edufes%20Curr%C3%ADculos%2C%20g%C3%AAneros%20e%20sexualidades%20experi%C3%AAncias%20misturadas%20e%20compartilhadas.pdf" TargetMode="External"/><Relationship Id="rId485" Type="http://schemas.openxmlformats.org/officeDocument/2006/relationships/hyperlink" Target="http://omp.ufgd.edu.br/omp/index.php/livrosabertos/catalog/view/111/227/508-1" TargetMode="External"/><Relationship Id="rId480" Type="http://schemas.openxmlformats.org/officeDocument/2006/relationships/hyperlink" Target="http://www.uesc.br/editora/livrosdigitais2017/geografia_ensino.pdf" TargetMode="External"/><Relationship Id="rId239" Type="http://schemas.openxmlformats.org/officeDocument/2006/relationships/hyperlink" Target="http://repositorio.ufes.br/bitstream/10/799/6/Versao%20digital%20atualizada%20livro%20edufes%20Cultura%2C%20dial%C3%A9tica%20e%20hegemonia%20%20pesquisas%20em%20educacao.pdf.pdf" TargetMode="External"/><Relationship Id="rId238" Type="http://schemas.openxmlformats.org/officeDocument/2006/relationships/hyperlink" Target="http://www.eduff.uff.br/ebooks/Cultura-negra-2.pdf" TargetMode="External"/><Relationship Id="rId237" Type="http://schemas.openxmlformats.org/officeDocument/2006/relationships/hyperlink" Target="http://www.eduff.uff.br/ebooks/Cultura-negra-1.pdf" TargetMode="External"/><Relationship Id="rId479" Type="http://schemas.openxmlformats.org/officeDocument/2006/relationships/hyperlink" Target="http://www.uems.br/assets/uploads/editora/arquivos/1_2020-03-03_10-18-49.pdf" TargetMode="External"/><Relationship Id="rId236" Type="http://schemas.openxmlformats.org/officeDocument/2006/relationships/hyperlink" Target="http://repositorio.ufes.br/bitstream/10/11346/1/Livro_CULTURA_MATERIAL_ESCOLAR_EM_PERSPECTIVA_HIST%C3%93RICA_%28Vers%C3%A3o_DIGITAL_-_FINAL%29%20%283%29.pdf" TargetMode="External"/><Relationship Id="rId478" Type="http://schemas.openxmlformats.org/officeDocument/2006/relationships/hyperlink" Target="http://www.editora.puc-rio.br/media/Ebook_Geografia_do_voto_Rio_SaoPaulo_final.pdf" TargetMode="External"/><Relationship Id="rId231" Type="http://schemas.openxmlformats.org/officeDocument/2006/relationships/hyperlink" Target="https://www.fundaj.gov.br/images/stories/editora/livros/cotidianos_afrodecendentes_portal.pdf" TargetMode="External"/><Relationship Id="rId473" Type="http://schemas.openxmlformats.org/officeDocument/2006/relationships/hyperlink" Target="http://repositorio.ufes.br/handle/10/938" TargetMode="External"/><Relationship Id="rId230" Type="http://schemas.openxmlformats.org/officeDocument/2006/relationships/hyperlink" Target="https://www.ufpi.br/arquivos_download/arquivos/EDUFPI/Livro_COSTURANDO_CONTOS_E_AMARRANDO___PONTOS_E-BOOK_ok_1.pdf" TargetMode="External"/><Relationship Id="rId472" Type="http://schemas.openxmlformats.org/officeDocument/2006/relationships/hyperlink" Target="http://hdl.handle.net/10183/182257" TargetMode="External"/><Relationship Id="rId471" Type="http://schemas.openxmlformats.org/officeDocument/2006/relationships/hyperlink" Target="http://hdl.handle.net/10183/199720" TargetMode="External"/><Relationship Id="rId470" Type="http://schemas.openxmlformats.org/officeDocument/2006/relationships/hyperlink" Target="http://omp.ufgd.edu.br/omp/index.php/livrosabertos/catalog/view/221/131/411-1" TargetMode="External"/><Relationship Id="rId235" Type="http://schemas.openxmlformats.org/officeDocument/2006/relationships/hyperlink" Target="http://omp.ufgd.edu.br/omp/index.php/livrosabertos/catalog/view/69/73/253-1" TargetMode="External"/><Relationship Id="rId477" Type="http://schemas.openxmlformats.org/officeDocument/2006/relationships/hyperlink" Target="https://www2.unifap.br/editora/files/2014/12/Livro-Geografia-do-Amap%c3%a1-em-Perspectiva.pdf" TargetMode="External"/><Relationship Id="rId234" Type="http://schemas.openxmlformats.org/officeDocument/2006/relationships/hyperlink" Target="http://omp.ufgd.edu.br/omp/index.php/livrosabertos/catalog/view/68/72/252-1" TargetMode="External"/><Relationship Id="rId476" Type="http://schemas.openxmlformats.org/officeDocument/2006/relationships/hyperlink" Target="http://repositorio.ufes.br/bitstream/10/1414/1/Geofilosofia%20e%20geopol%C3%ADtica%20em%20Mil%20Platos.pdf" TargetMode="External"/><Relationship Id="rId233" Type="http://schemas.openxmlformats.org/officeDocument/2006/relationships/hyperlink" Target="http://www2.ufac.br/editora/livros/CRONISTASCOMBATENTES.pdf" TargetMode="External"/><Relationship Id="rId475" Type="http://schemas.openxmlformats.org/officeDocument/2006/relationships/hyperlink" Target="https://portal-archipelagus.azurewebsites.net/farol/eduepg/ebook/genero-midia-e-lutas-sociais-percepcoes-criticas-e-experiencias-emancipadoras/535880/" TargetMode="External"/><Relationship Id="rId232" Type="http://schemas.openxmlformats.org/officeDocument/2006/relationships/hyperlink" Target="http://omp.ufgd.edu.br/omp/index.php/livrosabertos/catalog/view/67/71/251-1" TargetMode="External"/><Relationship Id="rId474" Type="http://schemas.openxmlformats.org/officeDocument/2006/relationships/hyperlink" Target="https://www.dropbox.com/s/xqql87bd4ll31pl/Livro01_Genero_Educacao_e_Comunicacao.pdf?dl=0" TargetMode="External"/><Relationship Id="rId426" Type="http://schemas.openxmlformats.org/officeDocument/2006/relationships/hyperlink" Target="https://repositorio.ufsc.br/handle/123456789/187612" TargetMode="External"/><Relationship Id="rId668" Type="http://schemas.openxmlformats.org/officeDocument/2006/relationships/hyperlink" Target="http://www2.ufac.br/editora/livros/retratosdoaquieagora.pdf" TargetMode="External"/><Relationship Id="rId425" Type="http://schemas.openxmlformats.org/officeDocument/2006/relationships/hyperlink" Target="http://repositorio.ufba.br/ri/handle/ri/18029" TargetMode="External"/><Relationship Id="rId667" Type="http://schemas.openxmlformats.org/officeDocument/2006/relationships/hyperlink" Target="http://hdl.handle.net/10183/190228" TargetMode="External"/><Relationship Id="rId424" Type="http://schemas.openxmlformats.org/officeDocument/2006/relationships/hyperlink" Target="http://omp.ufgd.edu.br/omp/index.php/livrosabertos/catalog/view/103/238/530-1" TargetMode="External"/><Relationship Id="rId666" Type="http://schemas.openxmlformats.org/officeDocument/2006/relationships/hyperlink" Target="http://www.editora.ufrj.br/DynamicItems/livrosabertos-1/O-funk-e-o-hip-hop-invadem-a-cena.pdf" TargetMode="External"/><Relationship Id="rId423" Type="http://schemas.openxmlformats.org/officeDocument/2006/relationships/hyperlink" Target="http://omp.ufgd.edu.br/omp/index.php/livrosabertos/catalog/view/102/239/520-1" TargetMode="External"/><Relationship Id="rId665" Type="http://schemas.openxmlformats.org/officeDocument/2006/relationships/hyperlink" Target="https://editora.ifc.edu.br/2018/07/13/301/" TargetMode="External"/><Relationship Id="rId429" Type="http://schemas.openxmlformats.org/officeDocument/2006/relationships/hyperlink" Target="http://repositorio.ufba.br/ri/handle/ri/20950" TargetMode="External"/><Relationship Id="rId428" Type="http://schemas.openxmlformats.org/officeDocument/2006/relationships/hyperlink" Target="https://www.ufpi.br/arquivos_download/arquivos/EDUFPI/LIVRO_EXPERIENCIA_EM_EDUCA%C3%87%C3%83O_DO_CAMPO_EBOOK.pdf" TargetMode="External"/><Relationship Id="rId427" Type="http://schemas.openxmlformats.org/officeDocument/2006/relationships/hyperlink" Target="http://omp.ufgd.edu.br/omp/index.php/livrosabertos/catalog/view/258/254/562-1" TargetMode="External"/><Relationship Id="rId669" Type="http://schemas.openxmlformats.org/officeDocument/2006/relationships/hyperlink" Target="https://editora.ifg.edu.br/editoraifg/catalog/view/12/11/33-2" TargetMode="External"/><Relationship Id="rId660" Type="http://schemas.openxmlformats.org/officeDocument/2006/relationships/hyperlink" Target="http://repositorio.ufba.br/ri/handle/ri/20879" TargetMode="External"/><Relationship Id="rId422" Type="http://schemas.openxmlformats.org/officeDocument/2006/relationships/hyperlink" Target="http://hdl.handle.net/10183/52808" TargetMode="External"/><Relationship Id="rId664" Type="http://schemas.openxmlformats.org/officeDocument/2006/relationships/hyperlink" Target="http://repositorio.ufes.br/bitstream/10/1139/1/Livro%20Edufes%20o%20esporte%20na%20cidade%20cap%C3%ADtulos%20de%20sua%20hist%C3%B3ria%20em%20Vit%C3%B3ria.pdf" TargetMode="External"/><Relationship Id="rId421" Type="http://schemas.openxmlformats.org/officeDocument/2006/relationships/hyperlink" Target="http://www.editora.puc-rio.br/media/ebook_etica_socioambiental.pdf" TargetMode="External"/><Relationship Id="rId663" Type="http://schemas.openxmlformats.org/officeDocument/2006/relationships/hyperlink" Target="http://omp.ufgd.edu.br/omp/index.php/livrosabertos/catalog/view/154/191/472-1" TargetMode="External"/><Relationship Id="rId420" Type="http://schemas.openxmlformats.org/officeDocument/2006/relationships/hyperlink" Target="http://bit.ly/2mqB7T6" TargetMode="External"/><Relationship Id="rId662" Type="http://schemas.openxmlformats.org/officeDocument/2006/relationships/hyperlink" Target="https://www.editora.ufop.br/index.php/editora/catalog/view/28/17/60-1" TargetMode="External"/><Relationship Id="rId661" Type="http://schemas.openxmlformats.org/officeDocument/2006/relationships/hyperlink" Target="http://omp.ufgd.edu.br/omp/index.php/livrosabertos/catalog/view/153/192/473-1" TargetMode="External"/><Relationship Id="rId415" Type="http://schemas.openxmlformats.org/officeDocument/2006/relationships/hyperlink" Target="http://www.casaruibarbosa.gov.br/arquivos/file/Estudos%20Hist%C3%B3ricos%20sobre%20Rui%20Barbosa%20OCR(1).pdf" TargetMode="External"/><Relationship Id="rId657" Type="http://schemas.openxmlformats.org/officeDocument/2006/relationships/hyperlink" Target="http://www.eduff.uff.br/ebooks/O-cotidiano-dos-trabalhadores-de-Buenos-Aires-(1880-1920).pdf" TargetMode="External"/><Relationship Id="rId899" Type="http://schemas.openxmlformats.org/officeDocument/2006/relationships/hyperlink" Target="http://repositorio.ufes.br/handle/10/6774" TargetMode="External"/><Relationship Id="rId414" Type="http://schemas.openxmlformats.org/officeDocument/2006/relationships/hyperlink" Target="https://portaleditora.ufra.edu.br/images/parfor_vol_1_ultima_verso_e_definitiva_15052019.pdf" TargetMode="External"/><Relationship Id="rId656" Type="http://schemas.openxmlformats.org/officeDocument/2006/relationships/hyperlink" Target="http://www.uvanet.br/edicoes_uva/gera_xml.php?arquivo=conceito_bildung" TargetMode="External"/><Relationship Id="rId898" Type="http://schemas.openxmlformats.org/officeDocument/2006/relationships/hyperlink" Target="http://omp.ufgd.edu.br/omp/index.php/livrosabertos/catalog/view/11/10/38-1" TargetMode="External"/><Relationship Id="rId413" Type="http://schemas.openxmlformats.org/officeDocument/2006/relationships/hyperlink" Target="http://eduepb.uepb.edu.br/download/estudos-da-tradicao-itacoatiara-na-paraiba-subtradicao-inga/?wpdmdl=185&amp;amp;masterkey=5af99aa28e059" TargetMode="External"/><Relationship Id="rId655" Type="http://schemas.openxmlformats.org/officeDocument/2006/relationships/hyperlink" Target="http://www.uesc.br/editora/livrosdigitais2015/o_centro_da_cidade.pdf" TargetMode="External"/><Relationship Id="rId897" Type="http://schemas.openxmlformats.org/officeDocument/2006/relationships/hyperlink" Target="http://www.uesc.br/editora/livrosdigitais/vesantana.pdf" TargetMode="External"/><Relationship Id="rId412" Type="http://schemas.openxmlformats.org/officeDocument/2006/relationships/hyperlink" Target="https://www.eduerj.com/eng/?product=estudos-ambientais-em-regioes-metropolitanas-o-municipio-de-sao-goncalo-ebook" TargetMode="External"/><Relationship Id="rId654" Type="http://schemas.openxmlformats.org/officeDocument/2006/relationships/hyperlink" Target="http://eduepb.uepb.edu.br/download/o-calcadao-da-cardoso-vieira-seus-personagens-e-sujeitos-urbanos-uma-leitura-dos-usos-e-apropriacao-do-espaco-publico-em-campina-grande-pb/?wpdmdl=351&amp;amp;masterkey=5b02c5608839e" TargetMode="External"/><Relationship Id="rId896" Type="http://schemas.openxmlformats.org/officeDocument/2006/relationships/hyperlink" Target="http://repositorio.ufes.br/bitstream/10/823/1/livro%20edufes%20Via%20a-teia%20para%20Deus%20e%20a%20%C3%A9tica%20teleol%C3%B3gica%20a%20partir%20de%20edmund%20husserl.pdf" TargetMode="External"/><Relationship Id="rId419" Type="http://schemas.openxmlformats.org/officeDocument/2006/relationships/hyperlink" Target="http://books.scielo.org/id/j3jbg/pdf/marafon-9788575114995.pdf" TargetMode="External"/><Relationship Id="rId418" Type="http://schemas.openxmlformats.org/officeDocument/2006/relationships/hyperlink" Target="http://www.casaruibarbosa.gov.br/arquivos/file/estudos-sobre-politicas_miolo.pdf" TargetMode="External"/><Relationship Id="rId417" Type="http://schemas.openxmlformats.org/officeDocument/2006/relationships/hyperlink" Target="http://guaiaca.ufpel.edu.br:8080/bitstream/prefix/4795/1/Estudos-sobre-esparta%20.pdf" TargetMode="External"/><Relationship Id="rId659" Type="http://schemas.openxmlformats.org/officeDocument/2006/relationships/hyperlink" Target="http://portal.unemat.br/media/files/Editora/E-book%20-%20%C3%81frica.pdf" TargetMode="External"/><Relationship Id="rId416" Type="http://schemas.openxmlformats.org/officeDocument/2006/relationships/hyperlink" Target="http://www.editora.puc-rio.br/media/miolo%20estudos%20sobre%20educa%C3%A7%C3%A3o.pdf" TargetMode="External"/><Relationship Id="rId658" Type="http://schemas.openxmlformats.org/officeDocument/2006/relationships/hyperlink" Target="http://www.uesc.br/editora/livrosdigitais_20140513/o_elo_perdido.pdf" TargetMode="External"/><Relationship Id="rId891" Type="http://schemas.openxmlformats.org/officeDocument/2006/relationships/hyperlink" Target="http://repositorio.unesc.net/handle/1/3801" TargetMode="External"/><Relationship Id="rId890" Type="http://schemas.openxmlformats.org/officeDocument/2006/relationships/hyperlink" Target="http://omp.ufgd.edu.br/omp/index.php/livrosabertos/catalog/view/17/15/52-2" TargetMode="External"/><Relationship Id="rId411" Type="http://schemas.openxmlformats.org/officeDocument/2006/relationships/hyperlink" Target="http://www.eduff.uff.br/ebooks/Estudos-Africanos.pdf" TargetMode="External"/><Relationship Id="rId653" Type="http://schemas.openxmlformats.org/officeDocument/2006/relationships/hyperlink" Target="http://omp.ufgd.edu.br/omp/index.php/livrosabertos/catalog/view/151/194/475-1" TargetMode="External"/><Relationship Id="rId895" Type="http://schemas.openxmlformats.org/officeDocument/2006/relationships/hyperlink" Target="https://www.editora.ufop.br/index.php/editora/catalog/view/155/124/407-1" TargetMode="External"/><Relationship Id="rId410" Type="http://schemas.openxmlformats.org/officeDocument/2006/relationships/hyperlink" Target="http://hdl.handle.net/10183/199003" TargetMode="External"/><Relationship Id="rId652" Type="http://schemas.openxmlformats.org/officeDocument/2006/relationships/hyperlink" Target="http://www.casaruibarbosa.gov.br/arquivos/file/album%20de%20objetos%20decorativos%20OCR.pdf" TargetMode="External"/><Relationship Id="rId894" Type="http://schemas.openxmlformats.org/officeDocument/2006/relationships/hyperlink" Target="http://www.uesc.br/editora/livrosdigitais2016/capa_velhice_saudavel.pdf" TargetMode="External"/><Relationship Id="rId651" Type="http://schemas.openxmlformats.org/officeDocument/2006/relationships/hyperlink" Target="https://www.ufcspa.edu.br/editora_log/download.php?cod=012&amp;tipo=pdf" TargetMode="External"/><Relationship Id="rId893" Type="http://schemas.openxmlformats.org/officeDocument/2006/relationships/hyperlink" Target="http://www.editora.ufpb.br/sistema/press5/index.php/UFPB/catalog/book/146" TargetMode="External"/><Relationship Id="rId650" Type="http://schemas.openxmlformats.org/officeDocument/2006/relationships/hyperlink" Target="https://editora.ifc.edu.br/2017/03/20/nube-historico-desafios-e-possibilidades-1a-edicao/" TargetMode="External"/><Relationship Id="rId892" Type="http://schemas.openxmlformats.org/officeDocument/2006/relationships/hyperlink" Target="http://www.uesc.br/editora/livrosdigitais2015/universidade_publica.pdf" TargetMode="External"/><Relationship Id="rId206" Type="http://schemas.openxmlformats.org/officeDocument/2006/relationships/hyperlink" Target="https://www.ufpi.br/arquivos_download/arquivos/EDUFPI/VOLUME_-_0720181120152240.pdf" TargetMode="External"/><Relationship Id="rId448" Type="http://schemas.openxmlformats.org/officeDocument/2006/relationships/hyperlink" Target="http://www.uesc.br/editora/livrosdigitais2015/fluxos_contemporaneos.pdf" TargetMode="External"/><Relationship Id="rId205" Type="http://schemas.openxmlformats.org/officeDocument/2006/relationships/hyperlink" Target="https://www.ufpi.br/arquivos_download/arquivos/EDUFPI/VOLUME_-_0620181120151906.pdf" TargetMode="External"/><Relationship Id="rId447" Type="http://schemas.openxmlformats.org/officeDocument/2006/relationships/hyperlink" Target="http://dx.doi.org/10.18616/filo" TargetMode="External"/><Relationship Id="rId689" Type="http://schemas.openxmlformats.org/officeDocument/2006/relationships/hyperlink" Target="https://editora.ifc.edu.br/2019/12/10/os-nos-que-fortalecem-a-rede-federal-de-educacao-profissional-cientifica-e-tecnologica/" TargetMode="External"/><Relationship Id="rId204" Type="http://schemas.openxmlformats.org/officeDocument/2006/relationships/hyperlink" Target="https://www.ufpi.br/arquivos_download/arquivos/EDUFPI/VOLUME_-_0520181120151115.pdf" TargetMode="External"/><Relationship Id="rId446" Type="http://schemas.openxmlformats.org/officeDocument/2006/relationships/hyperlink" Target="https://repositorio.ufsc.br/handle/123456789/187613" TargetMode="External"/><Relationship Id="rId688" Type="http://schemas.openxmlformats.org/officeDocument/2006/relationships/hyperlink" Target="http://hdl.handle.net/10183/52809" TargetMode="External"/><Relationship Id="rId203" Type="http://schemas.openxmlformats.org/officeDocument/2006/relationships/hyperlink" Target="https://www.ufpi.br/arquivos_download/arquivos/EDUFPI/VOLUME-04.pdf" TargetMode="External"/><Relationship Id="rId445" Type="http://schemas.openxmlformats.org/officeDocument/2006/relationships/hyperlink" Target="http://www.uesc.br/editora/livrosdigitais2015/caderno_aula_11_filosofia.pdf" TargetMode="External"/><Relationship Id="rId687" Type="http://schemas.openxmlformats.org/officeDocument/2006/relationships/hyperlink" Target="http://www.uesc.br/editora/livrosdigitais2019/ordem_imperial_e_aldeamento_indigena.pdf" TargetMode="External"/><Relationship Id="rId209" Type="http://schemas.openxmlformats.org/officeDocument/2006/relationships/hyperlink" Target="http://ufrr.br/editora/index.php/editais?download=436" TargetMode="External"/><Relationship Id="rId208" Type="http://schemas.openxmlformats.org/officeDocument/2006/relationships/hyperlink" Target="https://www.ufpi.br/arquivos_download/arquivos/VOLUME_0920190903151209.pdf" TargetMode="External"/><Relationship Id="rId207" Type="http://schemas.openxmlformats.org/officeDocument/2006/relationships/hyperlink" Target="https://www.ufpi.br/arquivos_download/arquivos/EDUFPI/VOLUME_-_0820181120152628.pdf" TargetMode="External"/><Relationship Id="rId449" Type="http://schemas.openxmlformats.org/officeDocument/2006/relationships/hyperlink" Target="http://portal.unemat.br/media/files/Editora/E-book%20-%20Focco.pdf" TargetMode="External"/><Relationship Id="rId440" Type="http://schemas.openxmlformats.org/officeDocument/2006/relationships/hyperlink" Target="http://www.uesc.br/editora/livrosdigitais/familia-poder-mito.pdf" TargetMode="External"/><Relationship Id="rId682" Type="http://schemas.openxmlformats.org/officeDocument/2006/relationships/hyperlink" Target="http://www.editora.ufpb.br/sistema/press5/index.php/UFPB/catalog/book/115" TargetMode="External"/><Relationship Id="rId681" Type="http://schemas.openxmlformats.org/officeDocument/2006/relationships/hyperlink" Target="http://www.editora.ufpb.br/sistema/press5/index.php/UFPB/catalog/book/440" TargetMode="External"/><Relationship Id="rId680" Type="http://schemas.openxmlformats.org/officeDocument/2006/relationships/hyperlink" Target="http://www.eduff.uff.br/ebooks/O-poder-nos-tempos-da-peste.pdf" TargetMode="External"/><Relationship Id="rId202" Type="http://schemas.openxmlformats.org/officeDocument/2006/relationships/hyperlink" Target="https://www.ufpi.br/arquivos_download/arquivos/EDUFPI/VOLUME-03.pdf" TargetMode="External"/><Relationship Id="rId444" Type="http://schemas.openxmlformats.org/officeDocument/2006/relationships/hyperlink" Target="http://ufrr.br/editora/index.php/editais?download=428" TargetMode="External"/><Relationship Id="rId686" Type="http://schemas.openxmlformats.org/officeDocument/2006/relationships/hyperlink" Target="http://omp.ufgd.edu.br/omp/index.php/livrosabertos/catalog/view/159/186/467-1" TargetMode="External"/><Relationship Id="rId201" Type="http://schemas.openxmlformats.org/officeDocument/2006/relationships/hyperlink" Target="https://www.ufpi.br/arquivos_download/arquivos/EDUFPI/VOLUME-02.pdf" TargetMode="External"/><Relationship Id="rId443" Type="http://schemas.openxmlformats.org/officeDocument/2006/relationships/hyperlink" Target="http://books.scielo.org/id/k8vc4/pdf/aguiao-9788575115152.pdf" TargetMode="External"/><Relationship Id="rId685" Type="http://schemas.openxmlformats.org/officeDocument/2006/relationships/hyperlink" Target="http://omp.ufgd.edu.br/omp/index.php/livrosabertos/catalog/view/158/187/468-1" TargetMode="External"/><Relationship Id="rId200" Type="http://schemas.openxmlformats.org/officeDocument/2006/relationships/hyperlink" Target="https://www.ufpi.br/arquivos_download/arquivos/VOLUME_1020190903151406.pdf" TargetMode="External"/><Relationship Id="rId442" Type="http://schemas.openxmlformats.org/officeDocument/2006/relationships/hyperlink" Target="https://www.eduerj.com/eng/?product=favelados-e-pobladores-nas-ciencias-sociais-a-construcao-teorica-de-um-movimento-social-ebook" TargetMode="External"/><Relationship Id="rId684" Type="http://schemas.openxmlformats.org/officeDocument/2006/relationships/hyperlink" Target="http://www.eduff.uff.br/ebooks/Oficinas-da-memoria-Teoria-e-pratica.pdf" TargetMode="External"/><Relationship Id="rId441" Type="http://schemas.openxmlformats.org/officeDocument/2006/relationships/hyperlink" Target="http://books.scielo.org/id/rrtr9/pdf/cortes-9788575114773.pdf" TargetMode="External"/><Relationship Id="rId683" Type="http://schemas.openxmlformats.org/officeDocument/2006/relationships/hyperlink" Target="http://repositorio.ufes.br/handle/10/6761" TargetMode="External"/><Relationship Id="rId437" Type="http://schemas.openxmlformats.org/officeDocument/2006/relationships/hyperlink" Target="https://www2.unifap.br/editora/files/2018/10/Faces-da-fronteira-entre-hist%c3%b3rias-e-espa%c3%a7os-encontros-e-desencontros.pdf" TargetMode="External"/><Relationship Id="rId679" Type="http://schemas.openxmlformats.org/officeDocument/2006/relationships/hyperlink" Target="https://www.ufpi.br/arquivos_download/arquivos/EDUFPI/O_Pibid_e_o_Ensino_de_Ciencias.pdf" TargetMode="External"/><Relationship Id="rId436" Type="http://schemas.openxmlformats.org/officeDocument/2006/relationships/hyperlink" Target="https://www2.unifap.br/editora/files/2014/12/Faces-da-Fronteira-Volume-II.pdf" TargetMode="External"/><Relationship Id="rId678" Type="http://schemas.openxmlformats.org/officeDocument/2006/relationships/hyperlink" Target="http://omp.ufgd.edu.br/omp/index.php/livrosabertos/catalog/view/157/188/469-1" TargetMode="External"/><Relationship Id="rId435" Type="http://schemas.openxmlformats.org/officeDocument/2006/relationships/hyperlink" Target="https://www.editoraargos.com.br/farol/editoraargos/ebook/extensao-universitaria-reflexoes-academicas/33251/" TargetMode="External"/><Relationship Id="rId677" Type="http://schemas.openxmlformats.org/officeDocument/2006/relationships/hyperlink" Target="https://paginas.uepa.br/eduepa/wp-content/uploads/2019/06/O-OFICIO-DO-PROFESSOR-20-10-2017.pdf" TargetMode="External"/><Relationship Id="rId434" Type="http://schemas.openxmlformats.org/officeDocument/2006/relationships/hyperlink" Target="http://www.editora.ufpb.br/sistema/press5/index.php/UFPB/catalog/book/552" TargetMode="External"/><Relationship Id="rId676" Type="http://schemas.openxmlformats.org/officeDocument/2006/relationships/hyperlink" Target="http://omp.ufgd.edu.br/omp/index.php/livrosabertos/catalog/view/156/189/470-1" TargetMode="External"/><Relationship Id="rId439" Type="http://schemas.openxmlformats.org/officeDocument/2006/relationships/hyperlink" Target="http://www.editora.puc-rio.br/media/ebook_familia_e_casal.pdf" TargetMode="External"/><Relationship Id="rId438" Type="http://schemas.openxmlformats.org/officeDocument/2006/relationships/hyperlink" Target="http://bit.ly/Faces-do-trabalho" TargetMode="External"/><Relationship Id="rId671" Type="http://schemas.openxmlformats.org/officeDocument/2006/relationships/hyperlink" Target="https://portal-archipelagus.azurewebsites.net/farol/eduepg/ebook/marcas-e-discursos-de-genero/34268/" TargetMode="External"/><Relationship Id="rId670" Type="http://schemas.openxmlformats.org/officeDocument/2006/relationships/hyperlink" Target="https://repositorio.ufsc.br/handle/123456789/187667" TargetMode="External"/><Relationship Id="rId433" Type="http://schemas.openxmlformats.org/officeDocument/2006/relationships/hyperlink" Target="http://www.editora.ufrj.br/DynamicItems/livrosabertos-1/soltec2_extensao_e_politicas_publicas.pdf" TargetMode="External"/><Relationship Id="rId675" Type="http://schemas.openxmlformats.org/officeDocument/2006/relationships/hyperlink" Target="http://www.casaruibarbosa.gov.br/arquivos/file/O%20museu%20ideal%20OCR.pdf" TargetMode="External"/><Relationship Id="rId432" Type="http://schemas.openxmlformats.org/officeDocument/2006/relationships/hyperlink" Target="http://www.editora.puc-rio.br/media/Miolo%20pibid.pdf" TargetMode="External"/><Relationship Id="rId674" Type="http://schemas.openxmlformats.org/officeDocument/2006/relationships/hyperlink" Target="http://eduepb.uepb.edu.br/download/o-movimento-de-64-na-paraiba/?wpdmdl=679&amp;amp;masterkey=5cb49f73c453a" TargetMode="External"/><Relationship Id="rId431" Type="http://schemas.openxmlformats.org/officeDocument/2006/relationships/hyperlink" Target="http://omp.ufgd.edu.br/omp/index.php/livrosabertos/catalog/view/104/237/519-1" TargetMode="External"/><Relationship Id="rId673" Type="http://schemas.openxmlformats.org/officeDocument/2006/relationships/hyperlink" Target="http://www.eduff.uff.br/ebooks/O-monge-a-irma-e-o-Orto-do-esposo.pdf" TargetMode="External"/><Relationship Id="rId430" Type="http://schemas.openxmlformats.org/officeDocument/2006/relationships/hyperlink" Target="http://hdl.handle.net/10183/205735" TargetMode="External"/><Relationship Id="rId672" Type="http://schemas.openxmlformats.org/officeDocument/2006/relationships/hyperlink" Target="https://www2.unifap.br/editora/files/2018/11/Livro-O-lugar-da-hist%c3%b3ria-e-dos-historiadores.pdf" TargetMode="External"/></Relationships>
</file>

<file path=xl/worksheets/_rels/sheet7.xml.rels><?xml version="1.0" encoding="UTF-8" standalone="yes"?><Relationships xmlns="http://schemas.openxmlformats.org/package/2006/relationships"><Relationship Id="rId190" Type="http://schemas.openxmlformats.org/officeDocument/2006/relationships/hyperlink" Target="http://ufrr.br/editora/index.php/editais?download=434" TargetMode="External"/><Relationship Id="rId194" Type="http://schemas.openxmlformats.org/officeDocument/2006/relationships/hyperlink" Target="https://www.unoesc.edu.br/images/uploads/editora/Miolo_-_Educa%C3%A7%C3%A3o_em_direito.pdf" TargetMode="External"/><Relationship Id="rId193" Type="http://schemas.openxmlformats.org/officeDocument/2006/relationships/hyperlink" Target="https://www.unoesc.edu.br/images/uploads/editora/Miolo_Educa%c3%a7%c3%a3o_e_Decolonialidade.pdf" TargetMode="External"/><Relationship Id="rId192" Type="http://schemas.openxmlformats.org/officeDocument/2006/relationships/hyperlink" Target="https://www.dropbox.com/s/yhpfyxaw6hpn933/Editora_Manual_2016.pdf?dl=0" TargetMode="External"/><Relationship Id="rId191" Type="http://schemas.openxmlformats.org/officeDocument/2006/relationships/hyperlink" Target="https://www.eduerj.com/eng/?product=economia-obstaculo-epistemologico-estudo-das-raizes-politicas-e-religiosas-do-imaginario-liberal-ebook" TargetMode="External"/><Relationship Id="rId187" Type="http://schemas.openxmlformats.org/officeDocument/2006/relationships/hyperlink" Target="http://hdl.handle.net/1884/37940" TargetMode="External"/><Relationship Id="rId186" Type="http://schemas.openxmlformats.org/officeDocument/2006/relationships/hyperlink" Target="http://eduepb.uepb.edu.br/download/doze-licoes-de-fato-e-de-direito/?wpdmdl=179&amp;amp;masterkey=5af99a1306209" TargetMode="External"/><Relationship Id="rId185" Type="http://schemas.openxmlformats.org/officeDocument/2006/relationships/hyperlink" Target="http://www.repositorio.ufba.br/ri/handle/ri/10078" TargetMode="External"/><Relationship Id="rId184" Type="http://schemas.openxmlformats.org/officeDocument/2006/relationships/hyperlink" Target="http://www2.ufac.br/editora/livros/discurso-e-resistencia-na-amazonia-acreana.pdf" TargetMode="External"/><Relationship Id="rId189" Type="http://schemas.openxmlformats.org/officeDocument/2006/relationships/hyperlink" Target="http://www.uesc.br/editora/livrosdigitais2016/economia_cultura_candomble_bahia.pdf" TargetMode="External"/><Relationship Id="rId188" Type="http://schemas.openxmlformats.org/officeDocument/2006/relationships/hyperlink" Target="http://hdl.handle.net/10183/198726" TargetMode="External"/><Relationship Id="rId183" Type="http://schemas.openxmlformats.org/officeDocument/2006/relationships/hyperlink" Target="https://www.unoesc.edu.br/images/uploads/editora/Diretivas_antecipadas_de_vontade_e_o_direito_de_morrer.pdf" TargetMode="External"/><Relationship Id="rId182" Type="http://schemas.openxmlformats.org/officeDocument/2006/relationships/hyperlink" Target="http://eduepb.uepb.edu.br/download/direitos-sociais-o-artigo-6o-da-constituicao-federal-e-sua-efetividade/?wpdmdl=174&amp;amp;masterkey=5af998e582a59" TargetMode="External"/><Relationship Id="rId181" Type="http://schemas.openxmlformats.org/officeDocument/2006/relationships/hyperlink" Target="https://www.ufcspa.edu.br/editora_log/download.php?cod=004&amp;tipo=pdf" TargetMode="External"/><Relationship Id="rId180" Type="http://schemas.openxmlformats.org/officeDocument/2006/relationships/hyperlink" Target="http://www.editora.ufpb.br/sistema/press5/index.php/UFPB/catalog/book/279" TargetMode="External"/><Relationship Id="rId176" Type="http://schemas.openxmlformats.org/officeDocument/2006/relationships/hyperlink" Target="http://ufrr.br/editora/index.php/editais?download=421" TargetMode="External"/><Relationship Id="rId175" Type="http://schemas.openxmlformats.org/officeDocument/2006/relationships/hyperlink" Target="http://omp.ufgd.edu.br/omp/index.php/livrosabertos/catalog/view/76/83/329-1" TargetMode="External"/><Relationship Id="rId174" Type="http://schemas.openxmlformats.org/officeDocument/2006/relationships/hyperlink" Target="http://www.editora.ufpb.br/sistema/press5/index.php/UFPB/catalog/book/356" TargetMode="External"/><Relationship Id="rId173" Type="http://schemas.openxmlformats.org/officeDocument/2006/relationships/hyperlink" Target="http://www.editora.ufpb.br/sistema/press5/index.php/UFPB/catalog/book/149" TargetMode="External"/><Relationship Id="rId179" Type="http://schemas.openxmlformats.org/officeDocument/2006/relationships/hyperlink" Target="https://www.unoesc.edu.br/images/uploads/editora/Direitos_humanos_previdenciarios.pdf" TargetMode="External"/><Relationship Id="rId178" Type="http://schemas.openxmlformats.org/officeDocument/2006/relationships/hyperlink" Target="https://www.unoesc.edu.br/images/uploads/editora/bio%c3%a9tica_e_aspectos_do_estado_social.pdf" TargetMode="External"/><Relationship Id="rId177" Type="http://schemas.openxmlformats.org/officeDocument/2006/relationships/hyperlink" Target="https://www.unoesc.edu.br/images/uploads/editora/Janaina_Reckziegel_-_Direitos_Humanos_Fundamentais.pdf" TargetMode="External"/><Relationship Id="rId198" Type="http://schemas.openxmlformats.org/officeDocument/2006/relationships/hyperlink" Target="http://cdn.ueg.edu.br/source/editora_ueg/conteudoN/4946/pdf_colecao_olhares/livro02_antonio_teodoro.pdf" TargetMode="External"/><Relationship Id="rId197" Type="http://schemas.openxmlformats.org/officeDocument/2006/relationships/hyperlink" Target="http://editora.metodista.br/livros-gratis/eminstantes.pdf/at_download/file" TargetMode="External"/><Relationship Id="rId196" Type="http://schemas.openxmlformats.org/officeDocument/2006/relationships/hyperlink" Target="http://eduepb.uepb.edu.br/download/eleicoes-politica-e-gestao-publica/?wpdmdl=548&amp;amp;masterkey=5bf56e5c089fb" TargetMode="External"/><Relationship Id="rId195" Type="http://schemas.openxmlformats.org/officeDocument/2006/relationships/hyperlink" Target="http://hdl.handle.net/10183/197178" TargetMode="External"/><Relationship Id="rId199" Type="http://schemas.openxmlformats.org/officeDocument/2006/relationships/hyperlink" Target="http://www.editora.ufpb.br/sistema/press5/index.php/UFPB/catalog/book/302" TargetMode="External"/><Relationship Id="rId150" Type="http://schemas.openxmlformats.org/officeDocument/2006/relationships/hyperlink" Target="http://www.editora.ufpb.br/sistema/press5/index.php/UFPB/catalog/book/143" TargetMode="External"/><Relationship Id="rId392" Type="http://schemas.openxmlformats.org/officeDocument/2006/relationships/hyperlink" Target="http://dx.doi.org/10.18616/pgt" TargetMode="External"/><Relationship Id="rId391" Type="http://schemas.openxmlformats.org/officeDocument/2006/relationships/hyperlink" Target="http://www.editora.ufpb.br/sistema/press5/index.php/UFPB/catalog/book/548" TargetMode="External"/><Relationship Id="rId390" Type="http://schemas.openxmlformats.org/officeDocument/2006/relationships/hyperlink" Target="https://www.ufpi.br/arquivos_download/arquivos/EDUFPI/Ebook_Piauilismo_por_tr%C3%A1s_da_cria%C3%A7%C3%A3o20190523164755.pdf" TargetMode="External"/><Relationship Id="rId1" Type="http://schemas.openxmlformats.org/officeDocument/2006/relationships/hyperlink" Target="https://www.unoesc.edu.br/images/uploads/editora/Miolo_repensar_Vinicius.pdf" TargetMode="External"/><Relationship Id="rId2" Type="http://schemas.openxmlformats.org/officeDocument/2006/relationships/hyperlink" Target="http://guaiaca.ufpel.edu.br:8080/bitstream/prefix/4558/1/13%C2%BA%20Encontro%20Sobre%20o%20Poder%20Escolar.pdf" TargetMode="External"/><Relationship Id="rId3" Type="http://schemas.openxmlformats.org/officeDocument/2006/relationships/hyperlink" Target="http://hdl.handle.net/10183/202498" TargetMode="External"/><Relationship Id="rId149" Type="http://schemas.openxmlformats.org/officeDocument/2006/relationships/hyperlink" Target="http://guaiaca.ufpel.edu.br:8080/bitstream/prefix/4192/1/Dimensoes%20da%20integracao%20regional_EBOOK%20%20%281%29.pdf" TargetMode="External"/><Relationship Id="rId4" Type="http://schemas.openxmlformats.org/officeDocument/2006/relationships/hyperlink" Target="https://www.eduerj.com/eng/?product=70-anos-de-radiojornalismo-no-brasil" TargetMode="External"/><Relationship Id="rId148" Type="http://schemas.openxmlformats.org/officeDocument/2006/relationships/hyperlink" Target="http://hdl.handle.net/10183/198716" TargetMode="External"/><Relationship Id="rId9" Type="http://schemas.openxmlformats.org/officeDocument/2006/relationships/hyperlink" Target="http://www.casaruibarbosa.gov.br/arquivos/file/A-carta-da-democracia%20PDF.pdf" TargetMode="External"/><Relationship Id="rId143" Type="http://schemas.openxmlformats.org/officeDocument/2006/relationships/hyperlink" Target="http://editora.ifpb.edu.br/index.php/ifpb/catalog/book/51" TargetMode="External"/><Relationship Id="rId385" Type="http://schemas.openxmlformats.org/officeDocument/2006/relationships/hyperlink" Target="https://www.unoesc.edu.br/images/uploads/editora/Miolo_Pensando_filosoficamente_3.pdf" TargetMode="External"/><Relationship Id="rId142" Type="http://schemas.openxmlformats.org/officeDocument/2006/relationships/hyperlink" Target="http://campomourao.unespar.edu.br/editora/obras-digitais/desenvolvimento-regional-no-parana-acoes-e-reflexoes" TargetMode="External"/><Relationship Id="rId384" Type="http://schemas.openxmlformats.org/officeDocument/2006/relationships/hyperlink" Target="http://www.editora.ufpb.br/sistema/press5/index.php/UFPB/catalog/book/364" TargetMode="External"/><Relationship Id="rId141" Type="http://schemas.openxmlformats.org/officeDocument/2006/relationships/hyperlink" Target="https://www.unoesc.edu.br/images/uploads/editora/Miolo_-_Desafios_do_presente_e_do_futuro.pdf" TargetMode="External"/><Relationship Id="rId383" Type="http://schemas.openxmlformats.org/officeDocument/2006/relationships/hyperlink" Target="http://repositorio.ufpel.edu.br:8080/bitstream/prefix/3806/1/13_PATRIM%c3%94NIO%20AFETIVO%20E%20FOTOGRAFIA_S%c3%89RIE%20P%c3%93S%20GRADUA%c3%87%c3%83O.pdf" TargetMode="External"/><Relationship Id="rId140" Type="http://schemas.openxmlformats.org/officeDocument/2006/relationships/hyperlink" Target="http://www.editora.ufpb.br/sistema/press5/index.php/UFPB/catalog/book/145" TargetMode="External"/><Relationship Id="rId382" Type="http://schemas.openxmlformats.org/officeDocument/2006/relationships/hyperlink" Target="https://www2.unifap.br/editora/files/2014/12/GALINDO-Alexandre-Gomes.-Participa%c3%a7%c3%a3o-social-no-desenvolvimento-de-pol%c3%adticas-p%c3%bablicas-no-estado-do-Amap%c3%a1-um-olhar-sobre-a-elabora%c3%a7%c3%a3o-e-execu%c3%a7%c3%a3o-do-plano-plurianual-de-Macap%c3%a1-AP-no-per%c3%adodo-de-2013-a-2016.-Macap%c3%a1-UNIFAP-2017.pdf" TargetMode="External"/><Relationship Id="rId5" Type="http://schemas.openxmlformats.org/officeDocument/2006/relationships/hyperlink" Target="http://www.edufu.ufu.br/sites/edufu.ufu.br/files/e-book_90_anos_de_radio_2016_0.pdf" TargetMode="External"/><Relationship Id="rId147" Type="http://schemas.openxmlformats.org/officeDocument/2006/relationships/hyperlink" Target="https://www.unoesc.edu.br/images/uploads/editora/S%c3%a9rie_Di%c3%a1logos_sobre_Direito_e_Justi%c3%a7a_2017.pdf" TargetMode="External"/><Relationship Id="rId389" Type="http://schemas.openxmlformats.org/officeDocument/2006/relationships/hyperlink" Target="http://eduepb.uepb.edu.br/download/pesquisa-em-arquivologia-fronteiras-e-perspectivas-epistemologicas/?wpdmdl=208&amp;amp;masterkey=5af99feb25759" TargetMode="External"/><Relationship Id="rId6" Type="http://schemas.openxmlformats.org/officeDocument/2006/relationships/hyperlink" Target="https://www.unoesc.edu.br/images/uploads/editora/A_(in)_efetividade_dos_direitos_fundamentais_sociais.pdf" TargetMode="External"/><Relationship Id="rId146" Type="http://schemas.openxmlformats.org/officeDocument/2006/relationships/hyperlink" Target="https://www.unoesc.edu.br/images/uploads/editora/S%c3%a9rie_Di%c3%a1logos_sobre_Direito_e_Justi%c3%a7a_-_2018.pdf" TargetMode="External"/><Relationship Id="rId388" Type="http://schemas.openxmlformats.org/officeDocument/2006/relationships/hyperlink" Target="http://dx.doi.org/10.18616/pers" TargetMode="External"/><Relationship Id="rId7" Type="http://schemas.openxmlformats.org/officeDocument/2006/relationships/hyperlink" Target="https://www.unoesc.edu.br/images/uploads/editora/A_aprendizagem_para_a_sustentabilidade1.pdf" TargetMode="External"/><Relationship Id="rId145" Type="http://schemas.openxmlformats.org/officeDocument/2006/relationships/hyperlink" Target="http://omp.ufgd.edu.br/omp/index.php/livrosabertos/catalog/view/83/90/336-1" TargetMode="External"/><Relationship Id="rId387" Type="http://schemas.openxmlformats.org/officeDocument/2006/relationships/hyperlink" Target="http://dx.doi.org/10.18616/pers" TargetMode="External"/><Relationship Id="rId8" Type="http://schemas.openxmlformats.org/officeDocument/2006/relationships/hyperlink" Target="https://www.editoraargos.com.br/farol/editoraargos/ebook/a-aproximacao-dos-grupos-de-pesquisa-na-universidade/1193752/" TargetMode="External"/><Relationship Id="rId144" Type="http://schemas.openxmlformats.org/officeDocument/2006/relationships/hyperlink" Target="http://eduepb.uepb.edu.br/download/dialogos-do-direito-hodierno/?wpdmdl=655&amp;amp;masterkey=5cb480d48f615" TargetMode="External"/><Relationship Id="rId386" Type="http://schemas.openxmlformats.org/officeDocument/2006/relationships/hyperlink" Target="https://www.editora.ufop.br/index.php/editora/catalog/view/144/114/375-1" TargetMode="External"/><Relationship Id="rId381" Type="http://schemas.openxmlformats.org/officeDocument/2006/relationships/hyperlink" Target="http://www.repositorio.ufba.br/ri/handle/ri/12637" TargetMode="External"/><Relationship Id="rId380" Type="http://schemas.openxmlformats.org/officeDocument/2006/relationships/hyperlink" Target="https://www2.unifap.br/editora/files/2018/12/Parir-com-amor.pdf" TargetMode="External"/><Relationship Id="rId139" Type="http://schemas.openxmlformats.org/officeDocument/2006/relationships/hyperlink" Target="http://omp.ufgd.edu.br/omp/index.php/livrosabertos/catalog/view/71/75/255-1" TargetMode="External"/><Relationship Id="rId138" Type="http://schemas.openxmlformats.org/officeDocument/2006/relationships/hyperlink" Target="https://www.unoesc.edu.br/images/uploads/editora/Derechos_Sociales.pdf" TargetMode="External"/><Relationship Id="rId137" Type="http://schemas.openxmlformats.org/officeDocument/2006/relationships/hyperlink" Target="https://www.ufcspa.edu.br/editora_log/download.php?cod=005&amp;tipo=pdf" TargetMode="External"/><Relationship Id="rId379" Type="http://schemas.openxmlformats.org/officeDocument/2006/relationships/hyperlink" Target="https://editora.ifc.edu.br/2017/06/27/panorama-das-bibliotecas-da-rede-federal-de-educacao-profissional-cientifica-e-tecnologica-um-olhar-sobre-a-gestao/" TargetMode="External"/><Relationship Id="rId132" Type="http://schemas.openxmlformats.org/officeDocument/2006/relationships/hyperlink" Target="http://www.uvanet.br/edicoes_uva/gera_xml.php?arquivo=de_comer" TargetMode="External"/><Relationship Id="rId374" Type="http://schemas.openxmlformats.org/officeDocument/2006/relationships/hyperlink" Target="https://www.unoesc.edu.br/images/uploads/editora/direitos_fundamentais_sociais_na_democracia.pdf" TargetMode="External"/><Relationship Id="rId131" Type="http://schemas.openxmlformats.org/officeDocument/2006/relationships/hyperlink" Target="https://www2.unifap.br/editora/files/2019/07/dados-socioeconomicos-e-aspectos-da-moradia.pdf" TargetMode="External"/><Relationship Id="rId373" Type="http://schemas.openxmlformats.org/officeDocument/2006/relationships/hyperlink" Target="http://www2.ufjf.br/editora/wp-content/uploads/sites/113/2018/02/os_direitos_educacionais_das_criancas_e_dos_adolescentes_adoentados.pdf" TargetMode="External"/><Relationship Id="rId130" Type="http://schemas.openxmlformats.org/officeDocument/2006/relationships/hyperlink" Target="http://www.editora.ufpb.br/sistema/press5/index.php/UFPB/catalog/book/359" TargetMode="External"/><Relationship Id="rId372" Type="http://schemas.openxmlformats.org/officeDocument/2006/relationships/hyperlink" Target="http://www.eduff.uff.br/ebooks/Os-debates-sobre-a-transicao.pdf" TargetMode="External"/><Relationship Id="rId371" Type="http://schemas.openxmlformats.org/officeDocument/2006/relationships/hyperlink" Target="http://bit.ly/Os-confins-da-psicanalise" TargetMode="External"/><Relationship Id="rId136" Type="http://schemas.openxmlformats.org/officeDocument/2006/relationships/hyperlink" Target="http://hdl.handle.net/10183/184842" TargetMode="External"/><Relationship Id="rId378" Type="http://schemas.openxmlformats.org/officeDocument/2006/relationships/hyperlink" Target="http://www.editora.puc-rio.br/media/ebook_paisagem_espaco_e_sustentabilidade.pdf" TargetMode="External"/><Relationship Id="rId135" Type="http://schemas.openxmlformats.org/officeDocument/2006/relationships/hyperlink" Target="http://eduepb.uepb.edu.br/download/democracia-conectada/?wpdmdl=1021&amp;" TargetMode="External"/><Relationship Id="rId377" Type="http://schemas.openxmlformats.org/officeDocument/2006/relationships/hyperlink" Target="https://www.unoesc.edu.br/images/uploads/editora/Os_projetos_pedagogicos_dos_cursos_de_direito.pdf" TargetMode="External"/><Relationship Id="rId134" Type="http://schemas.openxmlformats.org/officeDocument/2006/relationships/hyperlink" Target="http://www.editora.ufpb.br/sistema/press5/index.php/UFPB/catalog/book/200" TargetMode="External"/><Relationship Id="rId376" Type="http://schemas.openxmlformats.org/officeDocument/2006/relationships/hyperlink" Target="http://editora.ifpb.edu.br/index.php/ifpb/catalog/book/68" TargetMode="External"/><Relationship Id="rId133" Type="http://schemas.openxmlformats.org/officeDocument/2006/relationships/hyperlink" Target="https://www.ufpi.br/arquivos_download/arquivos/Capa__Miolo20191217100659.pdf" TargetMode="External"/><Relationship Id="rId375" Type="http://schemas.openxmlformats.org/officeDocument/2006/relationships/hyperlink" Target="https://www2.unifap.br/editora/files/2020/08/distintos-olhares-do-pdduam.pdf" TargetMode="External"/><Relationship Id="rId172" Type="http://schemas.openxmlformats.org/officeDocument/2006/relationships/hyperlink" Target="https://www.unoesc.edu.br/images/uploads/editora/Direitos_fundamentais_estudos_jur%c3%addicos_dogm%c3%a1ticos.pdf" TargetMode="External"/><Relationship Id="rId171" Type="http://schemas.openxmlformats.org/officeDocument/2006/relationships/hyperlink" Target="https://www.unoesc.edu.br/images/uploads/editora/Miolo_Direitos_fundamentais2.pdf" TargetMode="External"/><Relationship Id="rId170" Type="http://schemas.openxmlformats.org/officeDocument/2006/relationships/hyperlink" Target="https://www.unoesc.edu.br/images/uploads/editora/Ebook_Spring_2017.pdf" TargetMode="External"/><Relationship Id="rId165" Type="http://schemas.openxmlformats.org/officeDocument/2006/relationships/hyperlink" Target="https://hdl.handle.net/1884/63932" TargetMode="External"/><Relationship Id="rId164" Type="http://schemas.openxmlformats.org/officeDocument/2006/relationships/hyperlink" Target="http://www.uesc.br/editora/livrosdigitais2018/direito_tributario_5.pdf" TargetMode="External"/><Relationship Id="rId163" Type="http://schemas.openxmlformats.org/officeDocument/2006/relationships/hyperlink" Target="http://www.uesc.br/editora/livrosdigitais2018/direito_tributario_4.pdf" TargetMode="External"/><Relationship Id="rId162" Type="http://schemas.openxmlformats.org/officeDocument/2006/relationships/hyperlink" Target="http://www.uesc.br/editora/livrosdigitais2018/direito_tributario_3.pdf" TargetMode="External"/><Relationship Id="rId169" Type="http://schemas.openxmlformats.org/officeDocument/2006/relationships/hyperlink" Target="https://www.unoesc.edu.br/images/uploads/editora/Miolo_-_Direitos_Fundamentais.pdf" TargetMode="External"/><Relationship Id="rId168" Type="http://schemas.openxmlformats.org/officeDocument/2006/relationships/hyperlink" Target="https://www.unoesc.edu.br/images/uploads/editora/Livro_2_Spring_2017.pdf" TargetMode="External"/><Relationship Id="rId167" Type="http://schemas.openxmlformats.org/officeDocument/2006/relationships/hyperlink" Target="http://eduepb.uepb.edu.br/download/direitos-difusos/?wpdmdl=1032&amp;" TargetMode="External"/><Relationship Id="rId166" Type="http://schemas.openxmlformats.org/officeDocument/2006/relationships/hyperlink" Target="http://repositorio.ufes.br/handle/10/6776" TargetMode="External"/><Relationship Id="rId161" Type="http://schemas.openxmlformats.org/officeDocument/2006/relationships/hyperlink" Target="http://www.uesc.br/editora/livrosdigitais2018/direito_tributario_2.pdf" TargetMode="External"/><Relationship Id="rId160" Type="http://schemas.openxmlformats.org/officeDocument/2006/relationships/hyperlink" Target="http://www.uesc.br/editora/livrosdigitais2018/direito_tributario_1.pdf" TargetMode="External"/><Relationship Id="rId159" Type="http://schemas.openxmlformats.org/officeDocument/2006/relationships/hyperlink" Target="http://www.uesc.br/editora/livrosdigitais2017/direito_publico_questoes_polemicas.pdf" TargetMode="External"/><Relationship Id="rId154" Type="http://schemas.openxmlformats.org/officeDocument/2006/relationships/hyperlink" Target="https://www.unoesc.edu.br/images/uploads/editora/Direito_e_Novas_tecnologias_Perspectivas_na_Sociedade_da_Informa%c3%a7%c3%a3o_e_Cibercultura.pdf" TargetMode="External"/><Relationship Id="rId396" Type="http://schemas.openxmlformats.org/officeDocument/2006/relationships/hyperlink" Target="https://www2.unifap.br/editora/files/2018/12/Planejamento-Urbano-Regional-no-Estado-do-Amapa3.pdf" TargetMode="External"/><Relationship Id="rId153" Type="http://schemas.openxmlformats.org/officeDocument/2006/relationships/hyperlink" Target="https://www.editora.ufop.br/index.php/editora/catalog/book/25" TargetMode="External"/><Relationship Id="rId395" Type="http://schemas.openxmlformats.org/officeDocument/2006/relationships/hyperlink" Target="http://editora.metodista.br/livros-gratis/agenda21depiracicaba.pdf/at_download/file" TargetMode="External"/><Relationship Id="rId152" Type="http://schemas.openxmlformats.org/officeDocument/2006/relationships/hyperlink" Target="http://www.uesc.br/editora/livrosdigitais2017/direito_constitucional_penal.pdf" TargetMode="External"/><Relationship Id="rId394" Type="http://schemas.openxmlformats.org/officeDocument/2006/relationships/hyperlink" Target="https://doi.org/10.18616/pgtur" TargetMode="External"/><Relationship Id="rId151" Type="http://schemas.openxmlformats.org/officeDocument/2006/relationships/hyperlink" Target="https://www2.unifap.br/editora/files/2014/12/Livro-Direito-Ambiental-do-Trabalho-na-Atividade-Mineradora-na-Amaz%c3%b4nia-Luiz-Laboissiere-Jr.pdf" TargetMode="External"/><Relationship Id="rId393" Type="http://schemas.openxmlformats.org/officeDocument/2006/relationships/hyperlink" Target="http://dx.doi.org/10.18616/plan" TargetMode="External"/><Relationship Id="rId158" Type="http://schemas.openxmlformats.org/officeDocument/2006/relationships/hyperlink" Target="https://www2.unifap.br/editora/files/2014/12/Livro-Direito-Penal-e-Liberdade-de-Express%c3%a3o-no-STF-Luiz-Laboissiere-Jr.pdf" TargetMode="External"/><Relationship Id="rId157" Type="http://schemas.openxmlformats.org/officeDocument/2006/relationships/hyperlink" Target="http://portal.unemat.br/media/files/editora_livro_direito_na_fronteira-e-book.pdf" TargetMode="External"/><Relationship Id="rId399" Type="http://schemas.openxmlformats.org/officeDocument/2006/relationships/hyperlink" Target="http://www.uesc.br/editora/livrosdigitais2015/politica_e_planejamento.pdf" TargetMode="External"/><Relationship Id="rId156" Type="http://schemas.openxmlformats.org/officeDocument/2006/relationships/hyperlink" Target="https://www.unoesc.edu.br/images/uploads/editora/direito_fundamental_ao_trabalho_digno-tomoii.pdf" TargetMode="External"/><Relationship Id="rId398" Type="http://schemas.openxmlformats.org/officeDocument/2006/relationships/hyperlink" Target="http://omp.ufgd.edu.br/omp/index.php/livrosabertos/catalog/view/167/178/459-1" TargetMode="External"/><Relationship Id="rId155" Type="http://schemas.openxmlformats.org/officeDocument/2006/relationships/hyperlink" Target="https://www.unoesc.edu.br/images/uploads/editora/Rodrigo_Schwarz_-_Direito_Fundamental_ao_Trabalho_Digno.pdf" TargetMode="External"/><Relationship Id="rId397" Type="http://schemas.openxmlformats.org/officeDocument/2006/relationships/hyperlink" Target="http://omp.ufgd.edu.br/omp/index.php/livrosabertos/catalog/view/227/113/390-2" TargetMode="External"/><Relationship Id="rId40" Type="http://schemas.openxmlformats.org/officeDocument/2006/relationships/hyperlink" Target="http://www.uesc.br/editora/livrosdigitais2017/adequacao_sistema_tributario.pdf" TargetMode="External"/><Relationship Id="rId42" Type="http://schemas.openxmlformats.org/officeDocument/2006/relationships/hyperlink" Target="https://www.unoesc.edu.br/images/uploads/editora/Livro_Administra%c3%a7%c3%a3o_P%c3%bablica.pdf" TargetMode="External"/><Relationship Id="rId41" Type="http://schemas.openxmlformats.org/officeDocument/2006/relationships/hyperlink" Target="https://www.ufjf.br/virgilio_oliveira/files/2014/10/Texto-s%c3%adntese-Oliveira-2013.pdf" TargetMode="External"/><Relationship Id="rId44" Type="http://schemas.openxmlformats.org/officeDocument/2006/relationships/hyperlink" Target="http://eduepb.uepb.edu.br/download/age%CC%82ncias-reguladoras-uma-promessa-nao-realizada-contra-o-risco-da-captura/?wpdmdl=415&amp;amp;masterkey=5b3e255e5219a" TargetMode="External"/><Relationship Id="rId43" Type="http://schemas.openxmlformats.org/officeDocument/2006/relationships/hyperlink" Target="http://www2.ufjf.br/editora/wp-content/uploads/sites/113/2018/02/administracao_principios_teoricos_e_praticos.pdf" TargetMode="External"/><Relationship Id="rId46" Type="http://schemas.openxmlformats.org/officeDocument/2006/relationships/hyperlink" Target="http://eduepb.uepb.edu.br/download/ambiencias-comunicacionais/?wpdmdl=160&amp;amp;masterkey=5af995decfeaf" TargetMode="External"/><Relationship Id="rId45" Type="http://schemas.openxmlformats.org/officeDocument/2006/relationships/hyperlink" Target="http://eduepb.uepb.edu.br/download/agua-e-democracia-na-america-latina/?wpdmdl=159&amp;amp;masterkey=5af99556e52a8" TargetMode="External"/><Relationship Id="rId48" Type="http://schemas.openxmlformats.org/officeDocument/2006/relationships/hyperlink" Target="https://www.dropbox.com/s/44k1c73m7j78cor/Livro_America_Latina_em_Foco_Ebook.pdf?dl=0" TargetMode="External"/><Relationship Id="rId47" Type="http://schemas.openxmlformats.org/officeDocument/2006/relationships/hyperlink" Target="http://editora.ifpb.edu.br/index.php/ifpb/catalog/book/31" TargetMode="External"/><Relationship Id="rId49" Type="http://schemas.openxmlformats.org/officeDocument/2006/relationships/hyperlink" Target="https://editora.ifc.edu.br/2018/12/14/anais-da-semana-academica-facchu/" TargetMode="External"/><Relationship Id="rId31" Type="http://schemas.openxmlformats.org/officeDocument/2006/relationships/hyperlink" Target="http://www2.ufac.br/editora/livros/a-psicologia-na-politica-para-as-mulheres-em-situacao-de-violencia.pdf" TargetMode="External"/><Relationship Id="rId30" Type="http://schemas.openxmlformats.org/officeDocument/2006/relationships/hyperlink" Target="http://editora.metodista.br/livros-gratis/a-politica-publica-e-o-papel-da-universidade/at_download/file" TargetMode="External"/><Relationship Id="rId33" Type="http://schemas.openxmlformats.org/officeDocument/2006/relationships/hyperlink" Target="https://www.unoesc.edu.br/images/uploads/editora/A_releitura_da_Teoria.pdf" TargetMode="External"/><Relationship Id="rId32" Type="http://schemas.openxmlformats.org/officeDocument/2006/relationships/hyperlink" Target="https://www.unoesc.edu.br/images/uploads/editora/A_razoavel_duracao_do_processo_como_elemento_de.pdf" TargetMode="External"/><Relationship Id="rId35" Type="http://schemas.openxmlformats.org/officeDocument/2006/relationships/hyperlink" Target="https://www.unoesc.edu.br/images/uploads/editora/responsabilidade_civil_do_empregador.pdf" TargetMode="External"/><Relationship Id="rId34" Type="http://schemas.openxmlformats.org/officeDocument/2006/relationships/hyperlink" Target="http://repositorio.ufes.br/bitstream/10/1147/1/Livro%20edufes%20a%20responsabilidade%20civil%20do%20advogado%20sob%20a%20perspecitiva%20civil%20constitucional.pdf" TargetMode="External"/><Relationship Id="rId37" Type="http://schemas.openxmlformats.org/officeDocument/2006/relationships/hyperlink" Target="https://www.unoesc.edu.br/images/uploads/editora/Miolo2.pdf" TargetMode="External"/><Relationship Id="rId36" Type="http://schemas.openxmlformats.org/officeDocument/2006/relationships/hyperlink" Target="http://www.uesc.br/editora/livrosdigitais2017/a_restituicao_contribuicao_previdenciaria_dos_inativos.pdf" TargetMode="External"/><Relationship Id="rId39" Type="http://schemas.openxmlformats.org/officeDocument/2006/relationships/hyperlink" Target="http://guaiaca.ufpel.edu.br:8080/bitstream/prefix/4458/1/cole%c3%a7%c3%a3o%20extens%c3%a4o%20e%20sociedade%20n2.pdf" TargetMode="External"/><Relationship Id="rId38" Type="http://schemas.openxmlformats.org/officeDocument/2006/relationships/hyperlink" Target="http://hdl.handle.net/10183/206642" TargetMode="External"/><Relationship Id="rId20" Type="http://schemas.openxmlformats.org/officeDocument/2006/relationships/hyperlink" Target="https://www.eduerj.com/eng/?product=a-gazeta-do-rio-de-janeiro-1808-1822-cultura-e-sociedade" TargetMode="External"/><Relationship Id="rId22" Type="http://schemas.openxmlformats.org/officeDocument/2006/relationships/hyperlink" Target="http://www.editora.puc-rio.br/media/import%C3%A2ncia%20dos%20espa%C3%A7os%20livres%20p%C3%BAblicos%20em%20estrat%C3%A9gias%20de%20adapta%C3%A7%C3%A3o.pdf" TargetMode="External"/><Relationship Id="rId21" Type="http://schemas.openxmlformats.org/officeDocument/2006/relationships/hyperlink" Target="http://eduepb.uepb.edu.br/download/a-gestao-publica-municipal-multiplas-abordagens/?wpdmdl=373&amp;amp;masterkey=5b042a68dc6ce" TargetMode="External"/><Relationship Id="rId24" Type="http://schemas.openxmlformats.org/officeDocument/2006/relationships/hyperlink" Target="http://www.uesc.br/editora/livrosdigitais2017/a_lei_da_ficha_limpa.pdf" TargetMode="External"/><Relationship Id="rId23" Type="http://schemas.openxmlformats.org/officeDocument/2006/relationships/hyperlink" Target="http://www.editora.ufpb.br/sistema/press5/index.php/UFPB/catalog/book/278" TargetMode="External"/><Relationship Id="rId26" Type="http://schemas.openxmlformats.org/officeDocument/2006/relationships/hyperlink" Target="https://www.unoesc.edu.br/images/uploads/editora/Miolo_-_A_mesorregi%C3%A3o_Oeste_catarinense.pdf" TargetMode="External"/><Relationship Id="rId25" Type="http://schemas.openxmlformats.org/officeDocument/2006/relationships/hyperlink" Target="http://repositorio.ufpel.edu.br:8080/bitstream/prefix/3737/1/A%20media%c3%a7%c3%a3o%20imperfeita%20em%20Paul%20Ricoeur.pdf" TargetMode="External"/><Relationship Id="rId28" Type="http://schemas.openxmlformats.org/officeDocument/2006/relationships/hyperlink" Target="https://portal-archipelagus.azurewebsites.net/farol/eduepg/ebook/a-particularidade-historica-da-pesquisa-no-servico-social/34285/" TargetMode="External"/><Relationship Id="rId27" Type="http://schemas.openxmlformats.org/officeDocument/2006/relationships/hyperlink" Target="http://ufrr.br/editora/index.php/editais/category/40-editais?download=395:aonuaos70" TargetMode="External"/><Relationship Id="rId29" Type="http://schemas.openxmlformats.org/officeDocument/2006/relationships/hyperlink" Target="https://www.dropbox.com/s/v16xcgy7dea87du/Cordel_Peleja%20do%20estudante%20de%20Administracao.pdf" TargetMode="External"/><Relationship Id="rId11" Type="http://schemas.openxmlformats.org/officeDocument/2006/relationships/hyperlink" Target="https://www.unoesc.edu.br/images/uploads/editora/A_coerencia_do_metodo_bifasico_de_fixacao.pdf" TargetMode="External"/><Relationship Id="rId10" Type="http://schemas.openxmlformats.org/officeDocument/2006/relationships/hyperlink" Target="http://hdl.handle.net/1884/45033" TargetMode="External"/><Relationship Id="rId13" Type="http://schemas.openxmlformats.org/officeDocument/2006/relationships/hyperlink" Target="http://eduepb.uepb.edu.br/download/a-construcao-da-pesquisa-em-estudos-da-midia/?wpdmdl=534&amp;amp;masterkey=5bec0e99ee6b7" TargetMode="External"/><Relationship Id="rId12" Type="http://schemas.openxmlformats.org/officeDocument/2006/relationships/hyperlink" Target="https://www.unoesc.edu.br/images/uploads/editora/Miolo_-_A_Configura%C3%A7%C3%A3o_revisado.pdf" TargetMode="External"/><Relationship Id="rId15" Type="http://schemas.openxmlformats.org/officeDocument/2006/relationships/hyperlink" Target="https://www.unoesc.edu.br/images/uploads/editora/Miolo_A_crise_fiscal.pdf" TargetMode="External"/><Relationship Id="rId14" Type="http://schemas.openxmlformats.org/officeDocument/2006/relationships/hyperlink" Target="https://www.editoraargos.com.br/farol/editoraargos/ebook/a-continuacao-da-formacao-academica-e-os-caminhos-da-pos-graduacao/735454/" TargetMode="External"/><Relationship Id="rId17" Type="http://schemas.openxmlformats.org/officeDocument/2006/relationships/hyperlink" Target="https://www.unoesc.edu.br/images/uploads/editora/miolo_a_escuta_da_aldeia.pdf" TargetMode="External"/><Relationship Id="rId16" Type="http://schemas.openxmlformats.org/officeDocument/2006/relationships/hyperlink" Target="http://www.editora.ufpb.br/sistema/press5/index.php/UFPB/catalog/book/574" TargetMode="External"/><Relationship Id="rId19" Type="http://schemas.openxmlformats.org/officeDocument/2006/relationships/hyperlink" Target="https://www.unoesc.edu.br/images/uploads/editora/Livro_3_Spring_2017.pdf" TargetMode="External"/><Relationship Id="rId18" Type="http://schemas.openxmlformats.org/officeDocument/2006/relationships/hyperlink" Target="https://www.editoraargos.com.br/farol/editoraargos/ebook/a-extensao-e-a-pesquisa-um-caminho-de-mao-dupla-entre-comunidade-e-universidade/1063045/" TargetMode="External"/><Relationship Id="rId84" Type="http://schemas.openxmlformats.org/officeDocument/2006/relationships/hyperlink" Target="https://www.eduerj.com/eng/?product=celso-furtado-2" TargetMode="External"/><Relationship Id="rId83" Type="http://schemas.openxmlformats.org/officeDocument/2006/relationships/hyperlink" Target="http://eduepb.uepb.edu.br/download/celso-furtado-vol-2/?wpdmdl=1078&amp;" TargetMode="External"/><Relationship Id="rId86" Type="http://schemas.openxmlformats.org/officeDocument/2006/relationships/hyperlink" Target="http://eduepb.uepb.edu.br/download/cibernetica-juridica/?wpdmdl=1044&amp;" TargetMode="External"/><Relationship Id="rId85" Type="http://schemas.openxmlformats.org/officeDocument/2006/relationships/hyperlink" Target="http://repositorio.ufpel.edu.br:8080/bitstream/prefix/3802/1/8_CER%c3%82MICA%20EM%20FAIAN%c3%87A%20EXISTENTES%20NOS%20CASAR%c3%95ES%20DO%20CENTRO%20HIST%c3%93RICO%20DE%20PELOTAS-RS_S%c3%89RIE%20P%c3%93S%20GRADUA%c3%87%c3%83O.pdf" TargetMode="External"/><Relationship Id="rId88" Type="http://schemas.openxmlformats.org/officeDocument/2006/relationships/hyperlink" Target="http://hdl.handle.net/10183/213251" TargetMode="External"/><Relationship Id="rId87" Type="http://schemas.openxmlformats.org/officeDocument/2006/relationships/hyperlink" Target="http://www.editora.ufpb.br/sistema/press5/index.php/UFPB/catalog/book/148" TargetMode="External"/><Relationship Id="rId89" Type="http://schemas.openxmlformats.org/officeDocument/2006/relationships/hyperlink" Target="https://hdl.handle.net/1884/47919" TargetMode="External"/><Relationship Id="rId80" Type="http://schemas.openxmlformats.org/officeDocument/2006/relationships/hyperlink" Target="http://eduepb.uepb.edu.br/download/celso-amorim-entre-virtude-e-vocacoes/?wpdmdl=669&amp;amp;masterkey=5cb49a7ae7aeb" TargetMode="External"/><Relationship Id="rId82" Type="http://schemas.openxmlformats.org/officeDocument/2006/relationships/hyperlink" Target="http://eduepb.uepb.edu.br/download/celso-furtado-vol-1/?wpdmdl=1066&amp;" TargetMode="External"/><Relationship Id="rId81" Type="http://schemas.openxmlformats.org/officeDocument/2006/relationships/hyperlink" Target="https://www.fundaj.gov.br/images/stories/editora/livros/livro_celso_furtado.pdf" TargetMode="External"/><Relationship Id="rId73" Type="http://schemas.openxmlformats.org/officeDocument/2006/relationships/hyperlink" Target="http://eduepb.uepb.edu.br/download/campo-de-publica-politicas-publicas-volume-1/?wpdmdl=166&amp;amp;masterkey=5af9976a8f1b4" TargetMode="External"/><Relationship Id="rId72" Type="http://schemas.openxmlformats.org/officeDocument/2006/relationships/hyperlink" Target="https://www.eduerj.com/eng/?product=bullying-e-cultura-de-paz-no-advento-da-nova-ordem-economica-ebook" TargetMode="External"/><Relationship Id="rId75" Type="http://schemas.openxmlformats.org/officeDocument/2006/relationships/hyperlink" Target="http://repositorio.unesc.net/handle/1/7663" TargetMode="External"/><Relationship Id="rId74" Type="http://schemas.openxmlformats.org/officeDocument/2006/relationships/hyperlink" Target="https://www.dropbox.com/s/98oqlas9jx1q2wf/CapitalSocial.pdf?dl=0" TargetMode="External"/><Relationship Id="rId77" Type="http://schemas.openxmlformats.org/officeDocument/2006/relationships/hyperlink" Target="http://repositorio.unesc.net/handle/1/5013" TargetMode="External"/><Relationship Id="rId76" Type="http://schemas.openxmlformats.org/officeDocument/2006/relationships/hyperlink" Target="http://repositorio.unesc.net/handle/1/5303" TargetMode="External"/><Relationship Id="rId79" Type="http://schemas.openxmlformats.org/officeDocument/2006/relationships/hyperlink" Target="http://eduepb.uepb.edu.br/download/cartografia-da-folkcomunicacao/?wpdmdl=725&amp;amp;masterkey=5d011d09c46d3" TargetMode="External"/><Relationship Id="rId78" Type="http://schemas.openxmlformats.org/officeDocument/2006/relationships/hyperlink" Target="http://editora.metodista.br/livros-gratis/CARTILHA.pdf/at_download/file" TargetMode="External"/><Relationship Id="rId71" Type="http://schemas.openxmlformats.org/officeDocument/2006/relationships/hyperlink" Target="http://eduepb.uepb.edu.br/download/brics-but-no-wall-versus-the-ibsa-cement-o-problema-da-cooperacao-a-partir-de-tres-niveis/?wpdmdl=378&amp;amp;masterkey=5b042cbeafedd" TargetMode="External"/><Relationship Id="rId70" Type="http://schemas.openxmlformats.org/officeDocument/2006/relationships/hyperlink" Target="https://www.unoesc.edu.br/images/uploads/editora/Biografias_nao_autorizadas_e_os_limites_do_direito.pdf" TargetMode="External"/><Relationship Id="rId62" Type="http://schemas.openxmlformats.org/officeDocument/2006/relationships/hyperlink" Target="https://portal-archipelagus.azurewebsites.net/farol/eduepg/ebook/as-universidades-estaduais-e-o-desenvolvimento-regional-do-parana/43288/" TargetMode="External"/><Relationship Id="rId61" Type="http://schemas.openxmlformats.org/officeDocument/2006/relationships/hyperlink" Target="http://ufrr.br/editora/index.php/editais?download=447" TargetMode="External"/><Relationship Id="rId64" Type="http://schemas.openxmlformats.org/officeDocument/2006/relationships/hyperlink" Target="http://hdl.handle.net/10183/198717" TargetMode="External"/><Relationship Id="rId63" Type="http://schemas.openxmlformats.org/officeDocument/2006/relationships/hyperlink" Target="http://hdl.handle.net/10183/198722" TargetMode="External"/><Relationship Id="rId66" Type="http://schemas.openxmlformats.org/officeDocument/2006/relationships/hyperlink" Target="https://www.unoesc.edu.br/images/uploads/editora/Autodeterminacao_corporal_para_uso_da_fosfoetanolamina.pdf" TargetMode="External"/><Relationship Id="rId65" Type="http://schemas.openxmlformats.org/officeDocument/2006/relationships/hyperlink" Target="http://eduepb.uepb.edu.br/download/audiencia-de-custodia-e-cultura-do-encarceramento/?wpdmdl=486&amp;amp;masterkey=5b97b1fbd4c70" TargetMode="External"/><Relationship Id="rId68" Type="http://schemas.openxmlformats.org/officeDocument/2006/relationships/hyperlink" Target="http://www.editora.ufpb.br/sistema/press5/index.php/UFPB/catalog/book/255" TargetMode="External"/><Relationship Id="rId67" Type="http://schemas.openxmlformats.org/officeDocument/2006/relationships/hyperlink" Target="http://repositorio.ufba.br/ri/handle/ri/24260" TargetMode="External"/><Relationship Id="rId60" Type="http://schemas.openxmlformats.org/officeDocument/2006/relationships/hyperlink" Target="http://www.eduff.uff.br/index.php/catalogo/8-catalogo/livros/492-as-fracoes-da-classe-senhorial-e-a-lei-hipotecaria-de-1864" TargetMode="External"/><Relationship Id="rId69" Type="http://schemas.openxmlformats.org/officeDocument/2006/relationships/hyperlink" Target="http://repositorio.ufpel.edu.br:8080/bitstream/prefix/3808/1/15_BIOGRAFEM%c3%81RIO%20DE%20UM%20APRENDER%20_S%c3%89RIE%20P%c3%93S%20GRADUA%c3%87%c3%83O.pdf" TargetMode="External"/><Relationship Id="rId51" Type="http://schemas.openxmlformats.org/officeDocument/2006/relationships/hyperlink" Target="https://www.unoesc.edu.br/images/uploads/editora/Analises_eficaciais_sob_a_egide_normativa_dos_principios.pdf" TargetMode="External"/><Relationship Id="rId50" Type="http://schemas.openxmlformats.org/officeDocument/2006/relationships/hyperlink" Target="http://cdn.ueg.edu.br/source/editora_ueg/conteudoN/4946/pdf_colecao_olhares/livro09_maria_jose.pdf" TargetMode="External"/><Relationship Id="rId53" Type="http://schemas.openxmlformats.org/officeDocument/2006/relationships/hyperlink" Target="http://omp.ufgd.edu.br/omp/index.php/livrosabertos/catalog/view/214/79/326-1" TargetMode="External"/><Relationship Id="rId52" Type="http://schemas.openxmlformats.org/officeDocument/2006/relationships/hyperlink" Target="http://eduepb.uepb.edu.br/download/antropologia-da-comunicacao-de-massa/?wpdmdl=161&amp;amp;masterkey=5af9962f39d1a" TargetMode="External"/><Relationship Id="rId55" Type="http://schemas.openxmlformats.org/officeDocument/2006/relationships/hyperlink" Target="http://omp.ufgd.edu.br/omp/index.php/livrosabertos/catalog/view/55/59/207-1" TargetMode="External"/><Relationship Id="rId54" Type="http://schemas.openxmlformats.org/officeDocument/2006/relationships/hyperlink" Target="http://www.eduff.uff.br/ebooks/Apresentacao-de-trabalhos-monograficos-de-conclusao-de-curso-Edicao-10.pdf" TargetMode="External"/><Relationship Id="rId57" Type="http://schemas.openxmlformats.org/officeDocument/2006/relationships/hyperlink" Target="http://www.editora.ufpb.br/sistema/press5/index.php/UFPB/catalog/book/575" TargetMode="External"/><Relationship Id="rId56" Type="http://schemas.openxmlformats.org/officeDocument/2006/relationships/hyperlink" Target="https://repositorio.ufsc.br/handle/123456789/187608" TargetMode="External"/><Relationship Id="rId59" Type="http://schemas.openxmlformats.org/officeDocument/2006/relationships/hyperlink" Target="http://eduepb.uepb.edu.br/download/as-eleicoes-estaduais-no-brasil-estrategias-de-campanha-para-tv/?wpdmdl=871&amp;" TargetMode="External"/><Relationship Id="rId58" Type="http://schemas.openxmlformats.org/officeDocument/2006/relationships/hyperlink" Target="https://www.unoesc.edu.br/images/uploads/editora/Coletanea_de_artigos_Conhecimento_em_Pauta_2016_2.pdf" TargetMode="External"/><Relationship Id="rId107" Type="http://schemas.openxmlformats.org/officeDocument/2006/relationships/hyperlink" Target="https://www.unoesc.edu.br/images/uploads/editora/Conhecimento_em_Pauta_Gradua%c3%a7%c3%a3o_2018_1.pdf" TargetMode="External"/><Relationship Id="rId349" Type="http://schemas.openxmlformats.org/officeDocument/2006/relationships/hyperlink" Target="https://www.unoesc.edu.br/images/uploads/editora/Miolo_o_direito_constitucional.pdf" TargetMode="External"/><Relationship Id="rId106" Type="http://schemas.openxmlformats.org/officeDocument/2006/relationships/hyperlink" Target="https://www.unoesc.edu.br/images/uploads/editora/CCP_Gradua%c3%a7%c3%a3o_2017_.pdf" TargetMode="External"/><Relationship Id="rId348" Type="http://schemas.openxmlformats.org/officeDocument/2006/relationships/hyperlink" Target="https://livros.unb.br/index.php/portal/catalog/view/17/16/70-2" TargetMode="External"/><Relationship Id="rId105" Type="http://schemas.openxmlformats.org/officeDocument/2006/relationships/hyperlink" Target="https://www.unoesc.edu.br/images/uploads/editora/Conhecimento_em_pauta_-_p%c3%b3s_gradua%c3%a7%c3%a3o_2019_2.pdf" TargetMode="External"/><Relationship Id="rId347" Type="http://schemas.openxmlformats.org/officeDocument/2006/relationships/hyperlink" Target="http://www2.ufac.br/editora/livros/direito-a-diferenca-1" TargetMode="External"/><Relationship Id="rId104" Type="http://schemas.openxmlformats.org/officeDocument/2006/relationships/hyperlink" Target="https://www.unoesc.edu.br/images/uploads/editora/Geral_Conhecimento_em_pauta_2018_2.pdf" TargetMode="External"/><Relationship Id="rId346" Type="http://schemas.openxmlformats.org/officeDocument/2006/relationships/hyperlink" Target="http://eduepb.uepb.edu.br/download/o-direito-a-agua-como-politica-publica-na-america-latina/?wpdmdl=203&amp;amp;masterkey=5af99d620d123" TargetMode="External"/><Relationship Id="rId109" Type="http://schemas.openxmlformats.org/officeDocument/2006/relationships/hyperlink" Target="http://eduepb.uepb.edu.br/download/conhecimento-sociabilidade-e-humanidade-2/?wpdmdl=743&amp;amp;masterkey=5d1a0bfb9a4c1" TargetMode="External"/><Relationship Id="rId108" Type="http://schemas.openxmlformats.org/officeDocument/2006/relationships/hyperlink" Target="https://www.unoesc.edu.br/images/uploads/editora/Conhecimento_em_pauta_-_gradua%c3%a7%c3%a3o_2019_1.pdf" TargetMode="External"/><Relationship Id="rId341" Type="http://schemas.openxmlformats.org/officeDocument/2006/relationships/hyperlink" Target="https://www.dropbox.com/s/e7kafko64p7bju7/Livro_Consumo_web.pdf?dl=0" TargetMode="External"/><Relationship Id="rId340" Type="http://schemas.openxmlformats.org/officeDocument/2006/relationships/hyperlink" Target="http://www.uesc.br/editora/livrosdigitais2019/direito_xi.pdf" TargetMode="External"/><Relationship Id="rId103" Type="http://schemas.openxmlformats.org/officeDocument/2006/relationships/hyperlink" Target="https://www.unoesc.edu.br/images/uploads/editora/Colet%c3%a2nea_de_artigos_conhecimento_em_pauta_.pdf" TargetMode="External"/><Relationship Id="rId345" Type="http://schemas.openxmlformats.org/officeDocument/2006/relationships/hyperlink" Target="http://www.editora.puc-rio.br/media/miolo%20desenvolvimento%20que%20queremos.pdf" TargetMode="External"/><Relationship Id="rId102" Type="http://schemas.openxmlformats.org/officeDocument/2006/relationships/hyperlink" Target="https://www.eduerj.com/eng/?product=comunicacao-organizacoes-e-cultura-digital-ebook" TargetMode="External"/><Relationship Id="rId344" Type="http://schemas.openxmlformats.org/officeDocument/2006/relationships/hyperlink" Target="https://doi.org/10" TargetMode="External"/><Relationship Id="rId101" Type="http://schemas.openxmlformats.org/officeDocument/2006/relationships/hyperlink" Target="https://www2.unifap.br/editora/files/2015/09/livroclaudia2015.pdf" TargetMode="External"/><Relationship Id="rId343" Type="http://schemas.openxmlformats.org/officeDocument/2006/relationships/hyperlink" Target="https://www.unoesc.edu.br/images/uploads/editora/Miolo_O_Custo_de_Implanta%C3%A7%C3%A3o.pdf" TargetMode="External"/><Relationship Id="rId100" Type="http://schemas.openxmlformats.org/officeDocument/2006/relationships/hyperlink" Target="https://livros.unb.br/index.php/portal/catalog/view/8/9/40-1" TargetMode="External"/><Relationship Id="rId342" Type="http://schemas.openxmlformats.org/officeDocument/2006/relationships/hyperlink" Target="http://eduepb.uepb.edu.br/download/o-curso-de-servic%cc%a7o-social-da-uepb/?wpdmdl=200&amp;amp;masterkey=5af99d1990c4c" TargetMode="External"/><Relationship Id="rId338" Type="http://schemas.openxmlformats.org/officeDocument/2006/relationships/hyperlink" Target="http://hdl.handle.net/10183/198714" TargetMode="External"/><Relationship Id="rId337" Type="http://schemas.openxmlformats.org/officeDocument/2006/relationships/hyperlink" Target="http://www.uesc.br/editora/livrosdigitais2016/normas_tecnicas_2ed.pdf" TargetMode="External"/><Relationship Id="rId336" Type="http://schemas.openxmlformats.org/officeDocument/2006/relationships/hyperlink" Target="https://www.unoesc.edu.br/images/uploads/editora/Normas_da_ABNT_-_Miolo_-_2020.pdf" TargetMode="External"/><Relationship Id="rId335" Type="http://schemas.openxmlformats.org/officeDocument/2006/relationships/hyperlink" Target="https://www.fundaj.gov.br/images/stories/editora/livros/livro_nordeste_2010_os_sentidos_do_voto.pdf" TargetMode="External"/><Relationship Id="rId339" Type="http://schemas.openxmlformats.org/officeDocument/2006/relationships/hyperlink" Target="http://omp.ufgd.edu.br/omp/index.php/livrosabertos/catalog/view/152/193/474-1" TargetMode="External"/><Relationship Id="rId330" Type="http://schemas.openxmlformats.org/officeDocument/2006/relationships/hyperlink" Target="http://repositorio.ufes.br/handle/10/1898" TargetMode="External"/><Relationship Id="rId334" Type="http://schemas.openxmlformats.org/officeDocument/2006/relationships/hyperlink" Target="http://www.editora.puc-rio.br/media/ebook_no_proximo_bloco.pdf" TargetMode="External"/><Relationship Id="rId333" Type="http://schemas.openxmlformats.org/officeDocument/2006/relationships/hyperlink" Target="https://www2.unifap.br/editora/files/2018/12/No-cora%c3%a7%c3%a3o-do-meio-do-mundo.pdf" TargetMode="External"/><Relationship Id="rId332" Type="http://schemas.openxmlformats.org/officeDocument/2006/relationships/hyperlink" Target="https://www2.unifap.br/editora/files/2019/06/nativos-digitais.pdf" TargetMode="External"/><Relationship Id="rId331" Type="http://schemas.openxmlformats.org/officeDocument/2006/relationships/hyperlink" Target="https://www.unoesc.edu.br/images/uploads/editora/narrativas-poeticas-2017.pdf" TargetMode="External"/><Relationship Id="rId370" Type="http://schemas.openxmlformats.org/officeDocument/2006/relationships/hyperlink" Target="http://www.eduff.uff.br/ebooks/Os-caminhos-do-Leao.pdf" TargetMode="External"/><Relationship Id="rId129" Type="http://schemas.openxmlformats.org/officeDocument/2006/relationships/hyperlink" Target="http://www.uesc.br/editora/livrosdigitais2015/pesquisa_para_sociedade.pdf" TargetMode="External"/><Relationship Id="rId128" Type="http://schemas.openxmlformats.org/officeDocument/2006/relationships/hyperlink" Target="http://eduepb.uepb.edu.br/download/curso-de-direitos-fundamentais/?wpdmdl=173&amp;amp;masterkey=5af998a247f90" TargetMode="External"/><Relationship Id="rId127" Type="http://schemas.openxmlformats.org/officeDocument/2006/relationships/hyperlink" Target="http://editora.metodista.br/livros-gratis/livroadministracao28-10-2016final.pdf/at_download/file" TargetMode="External"/><Relationship Id="rId369" Type="http://schemas.openxmlformats.org/officeDocument/2006/relationships/hyperlink" Target="http://repositorio.ufes.br/bitstream/10/797/1/livro%20edufes%20os%20bandidos%20na%20mesa%20do%20cafe.pdf" TargetMode="External"/><Relationship Id="rId126" Type="http://schemas.openxmlformats.org/officeDocument/2006/relationships/hyperlink" Target="http://eduepb.uepb.edu.br/download/curso-avancado-de-direito-tributario-municipal-volume-3/?wpdmdl=177&amp;amp;masterkey=5af9994fce09e" TargetMode="External"/><Relationship Id="rId368" Type="http://schemas.openxmlformats.org/officeDocument/2006/relationships/hyperlink" Target="http://www.editora.ufpb.br/sistema/press5/index.php/UFPB/catalog/book/355" TargetMode="External"/><Relationship Id="rId121" Type="http://schemas.openxmlformats.org/officeDocument/2006/relationships/hyperlink" Target="https://www.eduerj.com/eng/?product=crime-e-loucura-o-aparecimento-do-manicomio-judiciario-na-passagem-do-seculo-2" TargetMode="External"/><Relationship Id="rId363" Type="http://schemas.openxmlformats.org/officeDocument/2006/relationships/hyperlink" Target="https://www.editora.ufop.br/index.php/editora/catalog/view/27/16/57-1" TargetMode="External"/><Relationship Id="rId120" Type="http://schemas.openxmlformats.org/officeDocument/2006/relationships/hyperlink" Target="http://eduepb.uepb.edu.br/download/crime-de-desaparecimento-forcado-de-pessoas/?wpdmdl=542&amp;amp;masterkey=5bec1bf57d9db" TargetMode="External"/><Relationship Id="rId362" Type="http://schemas.openxmlformats.org/officeDocument/2006/relationships/hyperlink" Target="https://www2.unifap.br/editora/files/2018/12/O-r%c3%a1dio-no-Amap%c3%a1.pdf" TargetMode="External"/><Relationship Id="rId361" Type="http://schemas.openxmlformats.org/officeDocument/2006/relationships/hyperlink" Target="http://www.uesc.br/editora/livrosdigitais/quibe_tabuleiro_baiana.pdf" TargetMode="External"/><Relationship Id="rId360" Type="http://schemas.openxmlformats.org/officeDocument/2006/relationships/hyperlink" Target="https://www.editora.ufop.br/index.php/editora/catalog/view/18/8/33-1" TargetMode="External"/><Relationship Id="rId125" Type="http://schemas.openxmlformats.org/officeDocument/2006/relationships/hyperlink" Target="http://eduepb.uepb.edu.br/download/curso-avancado-de-direito-tributario-municipal-volume-2/?wpdmdl=176&amp;amp;masterkey=5af9993541ded" TargetMode="External"/><Relationship Id="rId367" Type="http://schemas.openxmlformats.org/officeDocument/2006/relationships/hyperlink" Target="http://hdl.handle.net/10183/213174" TargetMode="External"/><Relationship Id="rId124" Type="http://schemas.openxmlformats.org/officeDocument/2006/relationships/hyperlink" Target="http://eduepb.uepb.edu.br/download/curso-avancado-de-direito-tributario-municipal-volume-1/?wpdmdl=175&amp;amp;masterkey=5af99926a76e7" TargetMode="External"/><Relationship Id="rId366" Type="http://schemas.openxmlformats.org/officeDocument/2006/relationships/hyperlink" Target="https://www.unoesc.edu.br/images/uploads/editora/Miolo_Rodrigo.pdf" TargetMode="External"/><Relationship Id="rId123" Type="http://schemas.openxmlformats.org/officeDocument/2006/relationships/hyperlink" Target="http://eduepb.uepb.edu.br/download/crise-complexidade-ambiental-e-o-papel-do-direito-na-gestao-hidrica-do-nordeste/?wpdmdl=666&amp;amp;masterkey=5cb483a80e477" TargetMode="External"/><Relationship Id="rId365" Type="http://schemas.openxmlformats.org/officeDocument/2006/relationships/hyperlink" Target="http://editora.metodista.br/livros-gratis/observacoesdejornalistas1-11-2016.pdf/at_download/file" TargetMode="External"/><Relationship Id="rId122" Type="http://schemas.openxmlformats.org/officeDocument/2006/relationships/hyperlink" Target="http://repositorio.ufpel.edu.br:8080/bitstream/prefix/3809/1/16_CRIMINALIDADE%20FEMININA_S%c3%89RIE%20P%c3%93S%20GRADUA%c3%87%c3%83O.pdf" TargetMode="External"/><Relationship Id="rId364" Type="http://schemas.openxmlformats.org/officeDocument/2006/relationships/hyperlink" Target="https://www.unoesc.edu.br/images/uploads/editora/o_trabalho_intersetorial_que.pdf" TargetMode="External"/><Relationship Id="rId95" Type="http://schemas.openxmlformats.org/officeDocument/2006/relationships/hyperlink" Target="http://eduepb.uepb.edu.br/download/complianc-e-gestao-tributaria/?wpdmdl=1158&amp;" TargetMode="External"/><Relationship Id="rId94" Type="http://schemas.openxmlformats.org/officeDocument/2006/relationships/hyperlink" Target="https://www.unoesc.edu.br/images/uploads/editora/S%c3%a9rie_Di%c3%a1logos_sobre_Direito_e_Justi%c3%a7a_-_2019.pdf" TargetMode="External"/><Relationship Id="rId97" Type="http://schemas.openxmlformats.org/officeDocument/2006/relationships/hyperlink" Target="http://www.casaruibarbosa.gov.br/arquivos/file/eBooks/comunicacao_Cultura_Brasil_Dialogos_Economia_Politica_Comunicacao_Cultura.pdf" TargetMode="External"/><Relationship Id="rId96" Type="http://schemas.openxmlformats.org/officeDocument/2006/relationships/hyperlink" Target="http://hdl.handle.net/10183/184841" TargetMode="External"/><Relationship Id="rId99" Type="http://schemas.openxmlformats.org/officeDocument/2006/relationships/hyperlink" Target="http://repositorio.ufes.br/bitstream/10/6841/1/Comunica%C3%A7%C3%A3o%20e%20territorialidades_poder%20e%20cultura%2C%20redes%20e%20m%C3%ADdias.pdf" TargetMode="External"/><Relationship Id="rId98" Type="http://schemas.openxmlformats.org/officeDocument/2006/relationships/hyperlink" Target="http://www.uesc.br/editora/livrosdigitais2015/comunicacao_midia.pdf" TargetMode="External"/><Relationship Id="rId91" Type="http://schemas.openxmlformats.org/officeDocument/2006/relationships/hyperlink" Target="http://portal.unemat.br/media/files/editora-livro-ciencias_contabeis-E-Book.pdf" TargetMode="External"/><Relationship Id="rId90" Type="http://schemas.openxmlformats.org/officeDocument/2006/relationships/hyperlink" Target="http://hdl.handle.net/10183/213283" TargetMode="External"/><Relationship Id="rId93" Type="http://schemas.openxmlformats.org/officeDocument/2006/relationships/hyperlink" Target="https://www.unoesc.edu.br/images/uploads/editora/Di%c3%a1logos_sobre_Direito_e_Justi%c3%a7a_.pdf" TargetMode="External"/><Relationship Id="rId92" Type="http://schemas.openxmlformats.org/officeDocument/2006/relationships/hyperlink" Target="https://hdl.handle.net/1884/67247" TargetMode="External"/><Relationship Id="rId118" Type="http://schemas.openxmlformats.org/officeDocument/2006/relationships/hyperlink" Target="https://www2.unifap.br/editora/files/2015/09/SARDINHA_ELAIDE_CLAUDIA.pdf" TargetMode="External"/><Relationship Id="rId117" Type="http://schemas.openxmlformats.org/officeDocument/2006/relationships/hyperlink" Target="http://eduepb.uepb.edu.br/download/convencao-sobre-os-direitos-das-pessoas-com-deficiencia-novos-comentarios/?wpdmdl=171&amp;amp;masterkey=5af997fb28cbe" TargetMode="External"/><Relationship Id="rId359" Type="http://schemas.openxmlformats.org/officeDocument/2006/relationships/hyperlink" Target="http://eduepb.uepb.edu.br/download/o-nordeste-e-seus-desafios/?wpdmdl=697&amp;amp;masterkey=5cc6e2d4edca5" TargetMode="External"/><Relationship Id="rId116" Type="http://schemas.openxmlformats.org/officeDocument/2006/relationships/hyperlink" Target="http://repositorio.ufes.br/bitstream/10/1264/6/Livro%20Edufes%20Controle%20Social%20e%20pol%C3%ADtica%20redistributiva%20no%20or%C3%A7amento%20participativo.pdf" TargetMode="External"/><Relationship Id="rId358" Type="http://schemas.openxmlformats.org/officeDocument/2006/relationships/hyperlink" Target="http://eduepb.uepb.edu.br/download/multiplos-olhares-para-a-formac%cc%a7a%cc%83o-de-professores/?wpdmdl=197&amp;amp;masterkey=5af99c6aabe10" TargetMode="External"/><Relationship Id="rId115" Type="http://schemas.openxmlformats.org/officeDocument/2006/relationships/hyperlink" Target="http://eduepb.uepb.edu.br/download/contrarreforma-intelectuais-e-servico-social-as-inflexoes-na-politica-de-saude-2/?wpdmdl=357&amp;amp;masterkey=5b02c73b2857c" TargetMode="External"/><Relationship Id="rId357" Type="http://schemas.openxmlformats.org/officeDocument/2006/relationships/hyperlink" Target="https://www2.unifap.br/editora/files/2018/12/O-lugar-da-Amaz%c3%b4nia-nas-rela%c3%a7%c3%b5es-internacionais.pdf" TargetMode="External"/><Relationship Id="rId119" Type="http://schemas.openxmlformats.org/officeDocument/2006/relationships/hyperlink" Target="http://www.editora.puc-rio.br/media/CORPO%20VER%C3%83O%20download.pdf" TargetMode="External"/><Relationship Id="rId110" Type="http://schemas.openxmlformats.org/officeDocument/2006/relationships/hyperlink" Target="http://www2.ufjf.br/editora/wp-content/uploads/sites/113/2018/02/conselhos_tutelares.pdf" TargetMode="External"/><Relationship Id="rId352" Type="http://schemas.openxmlformats.org/officeDocument/2006/relationships/hyperlink" Target="https://www.unoesc.edu.br/images/uploads/editora/o_futuro_das_cidades.pdf" TargetMode="External"/><Relationship Id="rId351" Type="http://schemas.openxmlformats.org/officeDocument/2006/relationships/hyperlink" Target="http://eduepb.uepb.edu.br/download/o-esporte-amador-em-telejornais-esportivos-interioranos-um-estudo-sobre-os-programas-produzidos-em-campina-grande-pb/?wpdmdl=560&amp;amp;masterkey=5c00057423021" TargetMode="External"/><Relationship Id="rId350" Type="http://schemas.openxmlformats.org/officeDocument/2006/relationships/hyperlink" Target="http://repositorio.ufpel.edu.br:8080/bitstream/prefix/3799/1/3_ENSINO%20PRIVADO%20EM%20PELOTAS-RS%20NA%20PROPAGANDA%20IMPRESSA_S%c3%89RIE%20P%c3%93S%20GRADUA%c3%87%c3%83O.pdf" TargetMode="External"/><Relationship Id="rId114" Type="http://schemas.openxmlformats.org/officeDocument/2006/relationships/hyperlink" Target="http://omp.ufgd.edu.br/omp/index.php/livrosabertos/catalog/view/64/68/232-1" TargetMode="External"/><Relationship Id="rId356" Type="http://schemas.openxmlformats.org/officeDocument/2006/relationships/hyperlink" Target="https://www2.unifap.br/editora/files/2018/12/O-jornalismo-setentinha.pdf" TargetMode="External"/><Relationship Id="rId113" Type="http://schemas.openxmlformats.org/officeDocument/2006/relationships/hyperlink" Target="https://www.unoesc.edu.br/images/uploads/editora/Miolo_Constitucionalismo_P%C3%B3s-moderno.pdf" TargetMode="External"/><Relationship Id="rId355" Type="http://schemas.openxmlformats.org/officeDocument/2006/relationships/hyperlink" Target="http://www.unemat.br/reitoria/editora/downloads/eletronico/jogo_e_brincadeira_online.pdf" TargetMode="External"/><Relationship Id="rId112" Type="http://schemas.openxmlformats.org/officeDocument/2006/relationships/hyperlink" Target="http://www.unemat.br/reitoria/editora/downloads/eletronico/livro_jose_ricarte1.pdf" TargetMode="External"/><Relationship Id="rId354" Type="http://schemas.openxmlformats.org/officeDocument/2006/relationships/hyperlink" Target="https://www.unoesc.edu.br/images/uploads/editora/Miolo.pdf" TargetMode="External"/><Relationship Id="rId111" Type="http://schemas.openxmlformats.org/officeDocument/2006/relationships/hyperlink" Target="https://www.unoesc.edu.br/images/uploads/editora/Consideracoes_sobre_o_direito_fundamental_a_propria.pdf" TargetMode="External"/><Relationship Id="rId353" Type="http://schemas.openxmlformats.org/officeDocument/2006/relationships/hyperlink" Target="http://www.editora.ufrj.br/DynamicItems/livrosabertos-1/HomemSemFundamentos_compressed.pdf" TargetMode="External"/><Relationship Id="rId305" Type="http://schemas.openxmlformats.org/officeDocument/2006/relationships/hyperlink" Target="http://www.eduff.uff.br/ebooks/Macroeconomia-I.pdf" TargetMode="External"/><Relationship Id="rId304" Type="http://schemas.openxmlformats.org/officeDocument/2006/relationships/hyperlink" Target="https://www.unoesc.edu.br/images/uploads/editora/Miolo_Los_riesgos.pdf" TargetMode="External"/><Relationship Id="rId303" Type="http://schemas.openxmlformats.org/officeDocument/2006/relationships/hyperlink" Target="http://www.editora.puc-rio.br/media/Linhas_expandidas_e-book.pdf" TargetMode="External"/><Relationship Id="rId302" Type="http://schemas.openxmlformats.org/officeDocument/2006/relationships/hyperlink" Target="http://repositorio.ufes.br/handle/10/1897" TargetMode="External"/><Relationship Id="rId309" Type="http://schemas.openxmlformats.org/officeDocument/2006/relationships/hyperlink" Target="http://www.uvanet.br/edicoes_uva/gera_xml.php?arquivo=meandros-atencao-gestao" TargetMode="External"/><Relationship Id="rId308" Type="http://schemas.openxmlformats.org/officeDocument/2006/relationships/hyperlink" Target="http://www.editora.ufrj.br/DynamicItems/livrosabertos-1/ManualDeTelejornalismo_compressed.pdf" TargetMode="External"/><Relationship Id="rId307" Type="http://schemas.openxmlformats.org/officeDocument/2006/relationships/hyperlink" Target="https://portal-archipelagus.azurewebsites.net/farol/eduepg/ebook/manual-de-normalizacao-bibliografica-para-trabalhos-cientificos-4-ed-/1113903/" TargetMode="External"/><Relationship Id="rId306" Type="http://schemas.openxmlformats.org/officeDocument/2006/relationships/hyperlink" Target="http://editora.ifpb.edu.br/index.php/ifpb/catalog/book/91" TargetMode="External"/><Relationship Id="rId301" Type="http://schemas.openxmlformats.org/officeDocument/2006/relationships/hyperlink" Target="http://eduepb.uepb.edu.br/download/limites-dos-direitos-humanos/?wpdmdl=1018&amp;" TargetMode="External"/><Relationship Id="rId300" Type="http://schemas.openxmlformats.org/officeDocument/2006/relationships/hyperlink" Target="http://repositorio.ufpel.edu.br:8080/bitstream/prefix/3801/1/7_LIMITA%c3%87%c3%95ES%20AO%20DIREITO%20DE%20PROPRIEDADE%20_S%c3%89RIE%20P%c3%93S%20GRADUA%c3%87%c3%83O.pdf" TargetMode="External"/><Relationship Id="rId327" Type="http://schemas.openxmlformats.org/officeDocument/2006/relationships/hyperlink" Target="http://www.editora.ufpb.br/sistema/press5/index.php/UFPB/catalog/book/547" TargetMode="External"/><Relationship Id="rId326" Type="http://schemas.openxmlformats.org/officeDocument/2006/relationships/hyperlink" Target="https://www.unoesc.edu.br/images/uploads/editora/Larissa_Arcaro_-_Mulheres_e_destitui%C3%A7%C3%A3o.pdf" TargetMode="External"/><Relationship Id="rId325" Type="http://schemas.openxmlformats.org/officeDocument/2006/relationships/hyperlink" Target="http://www.uesc.br/editora/livrosdigitais2015/mosaico_economico.pdf" TargetMode="External"/><Relationship Id="rId324" Type="http://schemas.openxmlformats.org/officeDocument/2006/relationships/hyperlink" Target="http://hdl.handle.net/10183/213593" TargetMode="External"/><Relationship Id="rId329" Type="http://schemas.openxmlformats.org/officeDocument/2006/relationships/hyperlink" Target="http://eduepb.uepb.edu.br/download/mundos-dos-direitos-humanos-do-mundo/?wpdmdl=1111&amp;" TargetMode="External"/><Relationship Id="rId328" Type="http://schemas.openxmlformats.org/officeDocument/2006/relationships/hyperlink" Target="http://eduepb.uepb.edu.br/download/mundos-do-direito-economico-do-mundo/?wpdmdl=1108&amp;" TargetMode="External"/><Relationship Id="rId323" Type="http://schemas.openxmlformats.org/officeDocument/2006/relationships/hyperlink" Target="http://hdl.handle.net/10183/197189" TargetMode="External"/><Relationship Id="rId322" Type="http://schemas.openxmlformats.org/officeDocument/2006/relationships/hyperlink" Target="http://ufrr.br/editora/index.php/editais/category/40-editais?download=406:aonuaos70" TargetMode="External"/><Relationship Id="rId321" Type="http://schemas.openxmlformats.org/officeDocument/2006/relationships/hyperlink" Target="http://ufrr.br/editora/index.php/editais/category/40-editais?download=392:midia-informacao-e-meio-ambiente" TargetMode="External"/><Relationship Id="rId320" Type="http://schemas.openxmlformats.org/officeDocument/2006/relationships/hyperlink" Target="http://www.uesc.br/editora/livrosdigitais2016/midia_alternativa.pdf" TargetMode="External"/><Relationship Id="rId316" Type="http://schemas.openxmlformats.org/officeDocument/2006/relationships/hyperlink" Target="http://hdl.handle.net/10183/184222" TargetMode="External"/><Relationship Id="rId315" Type="http://schemas.openxmlformats.org/officeDocument/2006/relationships/hyperlink" Target="http://hdl.handle.net/10183/56447" TargetMode="External"/><Relationship Id="rId314" Type="http://schemas.openxmlformats.org/officeDocument/2006/relationships/hyperlink" Target="http://www.editora.ufpb.br/sistema/press5/index.php/UFPB/catalog/book/363" TargetMode="External"/><Relationship Id="rId313" Type="http://schemas.openxmlformats.org/officeDocument/2006/relationships/hyperlink" Target="http://www.eduff.uff.br/ebooks/Memorias-50-anos-da-Escola-de-Servico-Social-de-Niteroi.pdf" TargetMode="External"/><Relationship Id="rId319" Type="http://schemas.openxmlformats.org/officeDocument/2006/relationships/hyperlink" Target="http://repositorio.ufes.br/bitstream/10/939/1/livro%20edufes%20Metodologias%20e%20anal%C3%ADticas%20qualitativas%20em%20pesquisa%20organizacional.pdf" TargetMode="External"/><Relationship Id="rId318" Type="http://schemas.openxmlformats.org/officeDocument/2006/relationships/hyperlink" Target="http://www.editora.puc-rio.br/media/miolo%20metodologia-2.pdf" TargetMode="External"/><Relationship Id="rId317" Type="http://schemas.openxmlformats.org/officeDocument/2006/relationships/hyperlink" Target="http://editora.metodista.br/livros-gratis/livrocompleto.pdf/at_download/file" TargetMode="External"/><Relationship Id="rId312" Type="http://schemas.openxmlformats.org/officeDocument/2006/relationships/hyperlink" Target="https://www.unoesc.edu.br/images/uploads/editora/Memorias_do_congresso_de_euromotricidade.pdf" TargetMode="External"/><Relationship Id="rId311" Type="http://schemas.openxmlformats.org/officeDocument/2006/relationships/hyperlink" Target="http://www.eduff.uff.br/index.php/livros/187-memoria-de-metalurgicos-conflitos-existenciais-e-contradicoes-de-classe" TargetMode="External"/><Relationship Id="rId310" Type="http://schemas.openxmlformats.org/officeDocument/2006/relationships/hyperlink" Target="https://www.unoesc.edu.br/images/uploads/editora/Mecanismos_internacionais.pdf" TargetMode="External"/><Relationship Id="rId297" Type="http://schemas.openxmlformats.org/officeDocument/2006/relationships/hyperlink" Target="http://www.editora.puc-rio.br/media/ebooklesaspectsinterdisciplinaires.pdf" TargetMode="External"/><Relationship Id="rId296" Type="http://schemas.openxmlformats.org/officeDocument/2006/relationships/hyperlink" Target="https://www.editora.ufop.br/index.php/editora/catalog/view/26/15/54-1" TargetMode="External"/><Relationship Id="rId295" Type="http://schemas.openxmlformats.org/officeDocument/2006/relationships/hyperlink" Target="https://www.ufcspa.edu.br/editora_log/download.php?cod=014&amp;tipo=pdf" TargetMode="External"/><Relationship Id="rId294" Type="http://schemas.openxmlformats.org/officeDocument/2006/relationships/hyperlink" Target="https://www.unoesc.edu.br/images/uploads/editora/S%c3%a9rie_Direitos_Fundamentais_Sociais_Candy_Rodrigo.pdf" TargetMode="External"/><Relationship Id="rId299" Type="http://schemas.openxmlformats.org/officeDocument/2006/relationships/hyperlink" Target="https://www.unoesc.edu.br/images/uploads/editora/Miolo_Liberdade,_contrato_e_propriedade_ok.pdf" TargetMode="External"/><Relationship Id="rId298" Type="http://schemas.openxmlformats.org/officeDocument/2006/relationships/hyperlink" Target="https://www.unoesc.edu.br/images/uploads/editora/Liberdade_religiosa_e_a_teoria_da_justica_de_John.pdf" TargetMode="External"/><Relationship Id="rId271" Type="http://schemas.openxmlformats.org/officeDocument/2006/relationships/hyperlink" Target="http://eduepb.uepb.edu.br/download/incursoes-e-travessias/?wpdmdl=984&amp;" TargetMode="External"/><Relationship Id="rId270" Type="http://schemas.openxmlformats.org/officeDocument/2006/relationships/hyperlink" Target="http://www.editora.ufrj.br/DynamicItems/livrosabertos-1/Incubadoras-Tecnologicas-v2.pdf" TargetMode="External"/><Relationship Id="rId269" Type="http://schemas.openxmlformats.org/officeDocument/2006/relationships/hyperlink" Target="http://www.editora.ufrj.br/DynamicItems/livrosabertos-1/Incubadoras-Tecnologicas-v1.pdf" TargetMode="External"/><Relationship Id="rId264" Type="http://schemas.openxmlformats.org/officeDocument/2006/relationships/hyperlink" Target="http://www.uesc.br/editora/livrosdigitais2017/identidade_profissional.pdf" TargetMode="External"/><Relationship Id="rId263" Type="http://schemas.openxmlformats.org/officeDocument/2006/relationships/hyperlink" Target="http://eduepb.uepb.edu.br/download/i-jornada-de-direito-empresarial/?wpdmdl=729&amp;amp;masterkey=5d079651b242b" TargetMode="External"/><Relationship Id="rId262" Type="http://schemas.openxmlformats.org/officeDocument/2006/relationships/hyperlink" Target="http://www.editora.ufpb.br/sistema/press5/index.php/UFPB/catalog/book/102" TargetMode="External"/><Relationship Id="rId261" Type="http://schemas.openxmlformats.org/officeDocument/2006/relationships/hyperlink" Target="https://www.editora.ufop.br/index.php/editora/catalog/view/150/119/393-1" TargetMode="External"/><Relationship Id="rId268" Type="http://schemas.openxmlformats.org/officeDocument/2006/relationships/hyperlink" Target="http://bit.ly/Impressoes-de-identidade" TargetMode="External"/><Relationship Id="rId267" Type="http://schemas.openxmlformats.org/officeDocument/2006/relationships/hyperlink" Target="http://www.editora.ufpb.br/sistema/press5/index.php/UFPB/catalog/book/153" TargetMode="External"/><Relationship Id="rId266" Type="http://schemas.openxmlformats.org/officeDocument/2006/relationships/hyperlink" Target="https://www.unoesc.edu.br/images/uploads/editora/Miolo_mestradoADM_web.pdf" TargetMode="External"/><Relationship Id="rId265" Type="http://schemas.openxmlformats.org/officeDocument/2006/relationships/hyperlink" Target="https://www.unoesc.edu.br/images/uploads/editora/Identity,_migration_and_labour.pdf" TargetMode="External"/><Relationship Id="rId260" Type="http://schemas.openxmlformats.org/officeDocument/2006/relationships/hyperlink" Target="http://eduepb.uepb.edu.br/download/historias-e-memorias-da-comunicacao-institucional-e-publicitaria/?wpdmdl=188&amp;amp;masterkey=5af99b6a82e76" TargetMode="External"/><Relationship Id="rId259" Type="http://schemas.openxmlformats.org/officeDocument/2006/relationships/hyperlink" Target="http://portal.unemat.br/media/files/Editora/habitacao-de-interesse-social-em-MT.pdf" TargetMode="External"/><Relationship Id="rId258" Type="http://schemas.openxmlformats.org/officeDocument/2006/relationships/hyperlink" Target="http://www.edufu.ufu.br/sites/edufu.ufu.br/files/e-book_guia_de_normalizacao_2018_0.pdf" TargetMode="External"/><Relationship Id="rId253" Type="http://schemas.openxmlformats.org/officeDocument/2006/relationships/hyperlink" Target="http://hdl.handle.net/10183/184830" TargetMode="External"/><Relationship Id="rId495" Type="http://schemas.openxmlformats.org/officeDocument/2006/relationships/table" Target="../tables/table6.xml"/><Relationship Id="rId252" Type="http://schemas.openxmlformats.org/officeDocument/2006/relationships/hyperlink" Target="http://www.editora.puc-rio.br/media/Gest%C3%A3o%20Local%20de%20Recursos%20H%C3%ADdricos%20ebook.pdf" TargetMode="External"/><Relationship Id="rId251" Type="http://schemas.openxmlformats.org/officeDocument/2006/relationships/hyperlink" Target="http://eduepb.uepb.edu.br/download/gestao-empresarial-e-planejamento-tributario/?wpdmdl=720&amp;amp;masterkey=5cfe424fc8eb2" TargetMode="External"/><Relationship Id="rId493" Type="http://schemas.openxmlformats.org/officeDocument/2006/relationships/drawing" Target="../drawings/drawing7.xml"/><Relationship Id="rId250" Type="http://schemas.openxmlformats.org/officeDocument/2006/relationships/hyperlink" Target="http://www.editora.ufpb.br/sistema/press5/index.php/UFPB/catalog/book/319" TargetMode="External"/><Relationship Id="rId492" Type="http://schemas.openxmlformats.org/officeDocument/2006/relationships/hyperlink" Target="https://static.scielo.org/scielobooks/tskp8/pdf/cardoso-9788575114551.pdf" TargetMode="External"/><Relationship Id="rId257" Type="http://schemas.openxmlformats.org/officeDocument/2006/relationships/hyperlink" Target="http://guaiaca.ufpel.edu.br/bitstream/prefix/4191/3/Guerra%20econ%c3%b4mica%20e%20competi%c3%a7%c3%a3o%20no%20mundo%20contempor%c3%a2neo..pdf" TargetMode="External"/><Relationship Id="rId256" Type="http://schemas.openxmlformats.org/officeDocument/2006/relationships/hyperlink" Target="http://hdl.handle.net/10183/197238" TargetMode="External"/><Relationship Id="rId255" Type="http://schemas.openxmlformats.org/officeDocument/2006/relationships/hyperlink" Target="http://hdl.handle.net/10183/213375" TargetMode="External"/><Relationship Id="rId254" Type="http://schemas.openxmlformats.org/officeDocument/2006/relationships/hyperlink" Target="http://eduepb.uepb.edu.br/download/gestao-sustentavel-dos-recursos-naturais-uma-abordagem-participativa/?wpdmdl=184&amp;amp;masterkey=5af99aca96cbe" TargetMode="External"/><Relationship Id="rId293" Type="http://schemas.openxmlformats.org/officeDocument/2006/relationships/hyperlink" Target="http://www2.ufac.br/editora/livros/juventude-lazer-e-politicas-publicas-no-acre.pdf" TargetMode="External"/><Relationship Id="rId292" Type="http://schemas.openxmlformats.org/officeDocument/2006/relationships/hyperlink" Target="http://omp.ufgd.edu.br/omp/index.php/livrosabertos/catalog/view/127/216/497-1" TargetMode="External"/><Relationship Id="rId291" Type="http://schemas.openxmlformats.org/officeDocument/2006/relationships/hyperlink" Target="http://eduepb.uepb.edu.br/download/justic%cc%a7a-de-transic%cc%a7a%cc%83o-e-ministerio-publico/?wpdmdl=660&amp;amp;masterkey=5cb4817d62c87" TargetMode="External"/><Relationship Id="rId290" Type="http://schemas.openxmlformats.org/officeDocument/2006/relationships/hyperlink" Target="http://repositorio.ufes.br/bitstream/10/1457/1/Julgamento%20das%20causas%20repetitivas%20uma%20tendencia%20de%20coletivizacao%20da%20tutela%20processual%20civil.pdf" TargetMode="External"/><Relationship Id="rId286" Type="http://schemas.openxmlformats.org/officeDocument/2006/relationships/hyperlink" Target="http://www.casaruibarbosa.gov.br/arquivos/file/LIVRO_JARDINS%20HIST%C3%93RICOS%20-%202018(1).pdf" TargetMode="External"/><Relationship Id="rId285" Type="http://schemas.openxmlformats.org/officeDocument/2006/relationships/hyperlink" Target="https://www.unoesc.edu.br/images/uploads/editora/Miolo_Introdu%c3%a7%c3%a3o_ao_Planejamento_Urbano.pdf" TargetMode="External"/><Relationship Id="rId284" Type="http://schemas.openxmlformats.org/officeDocument/2006/relationships/hyperlink" Target="http://omp.ufgd.edu.br/omp/index.php/livrosabertos/catalog/view/224/117/395-1" TargetMode="External"/><Relationship Id="rId283" Type="http://schemas.openxmlformats.org/officeDocument/2006/relationships/hyperlink" Target="http://dx.doi.org/10.18616/seg" TargetMode="External"/><Relationship Id="rId289" Type="http://schemas.openxmlformats.org/officeDocument/2006/relationships/hyperlink" Target="http://editora.metodista.br/livros-gratis/Jornalismo%20especializado%20no%20Brasil12-4-2015.pdf/at_download/file" TargetMode="External"/><Relationship Id="rId288" Type="http://schemas.openxmlformats.org/officeDocument/2006/relationships/hyperlink" Target="http://eduepb.uepb.edu.br/download/jornadas-de-junho-repercussoes-e-leituras/?wpdmdl=191&amp;amp;masterkey=5af99ba2f0db2" TargetMode="External"/><Relationship Id="rId287" Type="http://schemas.openxmlformats.org/officeDocument/2006/relationships/hyperlink" Target="http://www.eduff.uff.br/ebooks/Jogo-de-corpo.pdf" TargetMode="External"/><Relationship Id="rId282" Type="http://schemas.openxmlformats.org/officeDocument/2006/relationships/hyperlink" Target="http://www.editora.ufpb.br/sistema/press5/index.php/UFPB/catalog/book/242" TargetMode="External"/><Relationship Id="rId281" Type="http://schemas.openxmlformats.org/officeDocument/2006/relationships/hyperlink" Target="https://hdl.handle.net/1884/68161" TargetMode="External"/><Relationship Id="rId280" Type="http://schemas.openxmlformats.org/officeDocument/2006/relationships/hyperlink" Target="http://www.repositorio.ufba.br/ri/handle/ri/6845" TargetMode="External"/><Relationship Id="rId275" Type="http://schemas.openxmlformats.org/officeDocument/2006/relationships/hyperlink" Target="https://www.editoraargos.com.br/farol/editoraargos/ebook/inovacao-em-biblioteconomia-temas-transversais/707862/" TargetMode="External"/><Relationship Id="rId274" Type="http://schemas.openxmlformats.org/officeDocument/2006/relationships/hyperlink" Target="https://www.unoesc.edu.br/images/uploads/editora/infraestrutura_urbana.pdf" TargetMode="External"/><Relationship Id="rId273" Type="http://schemas.openxmlformats.org/officeDocument/2006/relationships/hyperlink" Target="http://www.editora.ufpb.br/sistema/press5/index.php/UFPB/catalog/book/246" TargetMode="External"/><Relationship Id="rId272" Type="http://schemas.openxmlformats.org/officeDocument/2006/relationships/hyperlink" Target="http://eduepb.uepb.edu.br/download/informacao-e-inclusao/?wpdmdl=1012&amp;" TargetMode="External"/><Relationship Id="rId279" Type="http://schemas.openxmlformats.org/officeDocument/2006/relationships/hyperlink" Target="https://portal-archipelagus.azurewebsites.net/farol/edunioeste/ebook/interiorizacao-do-ensino-superior-protagonismo-das-universidades-estaduais-e-municipais-no-desenvolvimento-regional/1113970/" TargetMode="External"/><Relationship Id="rId278" Type="http://schemas.openxmlformats.org/officeDocument/2006/relationships/hyperlink" Target="https://portal-archipelagus.azurewebsites.net/farol/edunioeste/ebook/interiorizacao-do-ensino-superior-protagonismo-das-universidades-estaduais-e-municipais-no-desenvolvimento-regional/1113970/" TargetMode="External"/><Relationship Id="rId277" Type="http://schemas.openxmlformats.org/officeDocument/2006/relationships/hyperlink" Target="http://omp.ufgd.edu.br/omp/index.php/livrosabertos/catalog/view/125/218/499-1" TargetMode="External"/><Relationship Id="rId276" Type="http://schemas.openxmlformats.org/officeDocument/2006/relationships/hyperlink" Target="http://hdl.handle.net/10183/213592" TargetMode="External"/><Relationship Id="rId409" Type="http://schemas.openxmlformats.org/officeDocument/2006/relationships/hyperlink" Target="https://doi.org/10.18616/pps" TargetMode="External"/><Relationship Id="rId404" Type="http://schemas.openxmlformats.org/officeDocument/2006/relationships/hyperlink" Target="http://www2.uesb.br/editora/wp-content/uploads/POL%C3%8DTICAS-EDUCACIONAIS.pdf" TargetMode="External"/><Relationship Id="rId403" Type="http://schemas.openxmlformats.org/officeDocument/2006/relationships/hyperlink" Target="http://hdl.handle.net/10183/198720" TargetMode="External"/><Relationship Id="rId402" Type="http://schemas.openxmlformats.org/officeDocument/2006/relationships/hyperlink" Target="http://hdl.handle.net/10183/184843" TargetMode="External"/><Relationship Id="rId401" Type="http://schemas.openxmlformats.org/officeDocument/2006/relationships/hyperlink" Target="https://www2.unifap.br/editora/files/2020/02/politica-pratica.pdf" TargetMode="External"/><Relationship Id="rId408" Type="http://schemas.openxmlformats.org/officeDocument/2006/relationships/hyperlink" Target="http://hdl.handle.net/10183/213376" TargetMode="External"/><Relationship Id="rId407" Type="http://schemas.openxmlformats.org/officeDocument/2006/relationships/hyperlink" Target="http://hdl.handle.net/10183/56444" TargetMode="External"/><Relationship Id="rId406" Type="http://schemas.openxmlformats.org/officeDocument/2006/relationships/hyperlink" Target="http://bit.ly/Politicas-publicas-de-seguranca" TargetMode="External"/><Relationship Id="rId405" Type="http://schemas.openxmlformats.org/officeDocument/2006/relationships/hyperlink" Target="https://livros.unb.br/index.php/portal/catalog/view/15/14/62-1" TargetMode="External"/><Relationship Id="rId400" Type="http://schemas.openxmlformats.org/officeDocument/2006/relationships/hyperlink" Target="http://hdl.handle.net/10183/184834" TargetMode="External"/><Relationship Id="rId228" Type="http://schemas.openxmlformats.org/officeDocument/2006/relationships/hyperlink" Target="http://repositorio.ufpel.edu.br:8080/bitstream/prefix/3490/1/musica_epub.epub" TargetMode="External"/><Relationship Id="rId227" Type="http://schemas.openxmlformats.org/officeDocument/2006/relationships/hyperlink" Target="http://www.uesc.br/editora/livrosdigitais2018/estudos_economicos.pdf" TargetMode="External"/><Relationship Id="rId469" Type="http://schemas.openxmlformats.org/officeDocument/2006/relationships/hyperlink" Target="https://www.unoesc.edu.br/images/uploads/editora/Miolo_Temas_emergentes.pdf" TargetMode="External"/><Relationship Id="rId226" Type="http://schemas.openxmlformats.org/officeDocument/2006/relationships/hyperlink" Target="https://doi.org/10" TargetMode="External"/><Relationship Id="rId468" Type="http://schemas.openxmlformats.org/officeDocument/2006/relationships/hyperlink" Target="https://www.ufpi.br/arquivos_download/arquivos/EDUFPI/LIVRO_DE_DIREITO_II.pdf" TargetMode="External"/><Relationship Id="rId225" Type="http://schemas.openxmlformats.org/officeDocument/2006/relationships/hyperlink" Target="https://www.unoesc.edu.br/images/uploads/editora/Miolo_Direitos_sociais2017.pdf" TargetMode="External"/><Relationship Id="rId467" Type="http://schemas.openxmlformats.org/officeDocument/2006/relationships/hyperlink" Target="http://www.editora.ufpb.br/sistema/press5/index.php/UFPB/catalog/book/549" TargetMode="External"/><Relationship Id="rId229" Type="http://schemas.openxmlformats.org/officeDocument/2006/relationships/hyperlink" Target="http://www.uvanet.br/edicoes_uva/gera_xml.php?arquivo=estudos_qualitativos" TargetMode="External"/><Relationship Id="rId220" Type="http://schemas.openxmlformats.org/officeDocument/2006/relationships/hyperlink" Target="http://www.editora.ufpb.br/sistema/press5/index.php/UFPB/catalog/book/576" TargetMode="External"/><Relationship Id="rId462" Type="http://schemas.openxmlformats.org/officeDocument/2006/relationships/hyperlink" Target="http://www.eduff.uff.br/ebooks/Somos-todos-criminosos-em-potencial.pdf" TargetMode="External"/><Relationship Id="rId461" Type="http://schemas.openxmlformats.org/officeDocument/2006/relationships/hyperlink" Target="http://hdl.handle.net/10183/213273" TargetMode="External"/><Relationship Id="rId460" Type="http://schemas.openxmlformats.org/officeDocument/2006/relationships/hyperlink" Target="https://www.unoesc.edu.br/images/uploads/editora/Sociedade_da_informa%c3%a7%c3%a3o-infancia-identidade.pdf" TargetMode="External"/><Relationship Id="rId224" Type="http://schemas.openxmlformats.org/officeDocument/2006/relationships/hyperlink" Target="https://www.unoesc.edu.br/images/uploads/editora/Miolo_Direitos_Sociais2018.pdf" TargetMode="External"/><Relationship Id="rId466" Type="http://schemas.openxmlformats.org/officeDocument/2006/relationships/hyperlink" Target="http://repositorio.ufes.br/bitstream/10/822/1/livro%20edufes%20Tecnologias%20de%20gest%C3%A3o%20e%20subjetividades%20por%20uma%20abordagem%20multidisciplinar.pdf" TargetMode="External"/><Relationship Id="rId223" Type="http://schemas.openxmlformats.org/officeDocument/2006/relationships/hyperlink" Target="http://hdl.handle.net/10183/184838" TargetMode="External"/><Relationship Id="rId465" Type="http://schemas.openxmlformats.org/officeDocument/2006/relationships/hyperlink" Target="http://guaiaca.ufpel.edu.br/bitstream/prefix/4023/3/TICS.pdf" TargetMode="External"/><Relationship Id="rId222" Type="http://schemas.openxmlformats.org/officeDocument/2006/relationships/hyperlink" Target="http://repositorio.ufba.br/ri/handle/ri/29766" TargetMode="External"/><Relationship Id="rId464" Type="http://schemas.openxmlformats.org/officeDocument/2006/relationships/hyperlink" Target="http://www.editora.ufrj.br/DynamicItems/livrosabertos-1/soltec3_tecnologia_participacao_e_territorio.pdf" TargetMode="External"/><Relationship Id="rId221" Type="http://schemas.openxmlformats.org/officeDocument/2006/relationships/hyperlink" Target="http://eduepb.uepb.edu.br/download/estado-mercado-e-tributacao-normas-tributarias-indutoras-e-seus-reflexos-socioeconomicos-sobre-o-subsetor-da-construcao-civil-de-edificacoes-residenciais/?wpdmdl=432&amp;amp;masterkey=5b59e7e55b528" TargetMode="External"/><Relationship Id="rId463" Type="http://schemas.openxmlformats.org/officeDocument/2006/relationships/hyperlink" Target="http://www.editora.ufpb.br/sistema/press5/index.php/UFPB/catalog/book/280" TargetMode="External"/><Relationship Id="rId217" Type="http://schemas.openxmlformats.org/officeDocument/2006/relationships/hyperlink" Target="http://www.editora.ufpb.br/sistema/press5/index.php/UFPB/catalog/book/349" TargetMode="External"/><Relationship Id="rId459" Type="http://schemas.openxmlformats.org/officeDocument/2006/relationships/hyperlink" Target="https://www.unoesc.edu.br/images/uploads/editora/Sociedade_da_informacao-dignidade_da_pessoa.pdf" TargetMode="External"/><Relationship Id="rId216" Type="http://schemas.openxmlformats.org/officeDocument/2006/relationships/hyperlink" Target="http://www.editora.ufpb.br/sistema/press5/index.php/UFPB/catalog/book/198" TargetMode="External"/><Relationship Id="rId458" Type="http://schemas.openxmlformats.org/officeDocument/2006/relationships/hyperlink" Target="https://www.unoesc.edu.br/images/uploads/editora/Livro_Maria_Cristina_Ricardo.pdf" TargetMode="External"/><Relationship Id="rId215" Type="http://schemas.openxmlformats.org/officeDocument/2006/relationships/hyperlink" Target="http://www.editora.ufpb.br/sistema/press5/index.php/UFPB/catalog/book/197" TargetMode="External"/><Relationship Id="rId457" Type="http://schemas.openxmlformats.org/officeDocument/2006/relationships/hyperlink" Target="https://www.unoesc.edu.br/images/uploads/editora/Sociedade_da_informacao_e_o_ciberespaco.pdf" TargetMode="External"/><Relationship Id="rId214" Type="http://schemas.openxmlformats.org/officeDocument/2006/relationships/hyperlink" Target="https://www.editoraargos.com.br/farol/editoraargos/ebook/espaco-urbano-os-agentes-da-producao-em-chapeco/33249/" TargetMode="External"/><Relationship Id="rId456" Type="http://schemas.openxmlformats.org/officeDocument/2006/relationships/hyperlink" Target="http://repositorio.ufes.br/bitstream/10/828/1/livro%20edufes%20Sistemas%20de%20Prote%C3%A7%C3%A3o%20social%20do%20brasil.pdf" TargetMode="External"/><Relationship Id="rId219" Type="http://schemas.openxmlformats.org/officeDocument/2006/relationships/hyperlink" Target="http://hdl.handle.net/10183/56459" TargetMode="External"/><Relationship Id="rId218" Type="http://schemas.openxmlformats.org/officeDocument/2006/relationships/hyperlink" Target="http://omp.ufgd.edu.br/omp/index.php/livrosabertos/catalog/view/218/134/414-1" TargetMode="External"/><Relationship Id="rId451" Type="http://schemas.openxmlformats.org/officeDocument/2006/relationships/hyperlink" Target="http://eduepb.uepb.edu.br/download/seminario-de-saberes-arquivisticos-interfaces-do-aprendizado-na-universidade/?wpdmdl=210&amp;amp;masterkey=5af9a1ba7ed26" TargetMode="External"/><Relationship Id="rId450" Type="http://schemas.openxmlformats.org/officeDocument/2006/relationships/hyperlink" Target="https://www.unoesc.edu.br/images/uploads/editora/Seguran%C3%A7a_Social,_Direitos_fundamentais_e_a_Agenda_do_Desenvolvimento_Sustent%C3%A1vel_2.pdf" TargetMode="External"/><Relationship Id="rId213" Type="http://schemas.openxmlformats.org/officeDocument/2006/relationships/hyperlink" Target="https://www.unoesc.edu.br/images/uploads/editora/Miolo_Espa%C3%A7o_p%C3%BAblico_e_subjetiv..pdf" TargetMode="External"/><Relationship Id="rId455" Type="http://schemas.openxmlformats.org/officeDocument/2006/relationships/hyperlink" Target="https://repositorio.ufsc.br/handle/123456789/187926" TargetMode="External"/><Relationship Id="rId212" Type="http://schemas.openxmlformats.org/officeDocument/2006/relationships/hyperlink" Target="https://www.unoesc.edu.br/images/uploads/editora/Miolo_Espa%c3%a7o_p%c3%bablico_e_subjetividades.pdf" TargetMode="External"/><Relationship Id="rId454" Type="http://schemas.openxmlformats.org/officeDocument/2006/relationships/hyperlink" Target="https://doi.org/10" TargetMode="External"/><Relationship Id="rId211" Type="http://schemas.openxmlformats.org/officeDocument/2006/relationships/hyperlink" Target="https://www.unoesc.edu.br/images/uploads/editora/Miolo_Escritos_sobre_Direitos_Fundamentais_II.pdf" TargetMode="External"/><Relationship Id="rId453" Type="http://schemas.openxmlformats.org/officeDocument/2006/relationships/hyperlink" Target="http://www.editora.puc-rio.br/media/Sergio%20Bernardes%20-%20e-book.pdf" TargetMode="External"/><Relationship Id="rId210" Type="http://schemas.openxmlformats.org/officeDocument/2006/relationships/hyperlink" Target="https://www.unoesc.edu.br/images/uploads/editora/escritos_sobre_direitos_fundamentais.pdf" TargetMode="External"/><Relationship Id="rId452" Type="http://schemas.openxmlformats.org/officeDocument/2006/relationships/hyperlink" Target="https://www.unoesc.edu.br/images/uploads/editora/Miolo_-_Proesde.pdf" TargetMode="External"/><Relationship Id="rId491" Type="http://schemas.openxmlformats.org/officeDocument/2006/relationships/hyperlink" Target="http://editora.ifpb.edu.br/index.php/ifpb/catalog/book/95" TargetMode="External"/><Relationship Id="rId490" Type="http://schemas.openxmlformats.org/officeDocument/2006/relationships/hyperlink" Target="http://www.editora.ufpb.br/sistema/press5/index.php/UFPB/catalog/book/361" TargetMode="External"/><Relationship Id="rId249" Type="http://schemas.openxmlformats.org/officeDocument/2006/relationships/hyperlink" Target="http://www.editora.ufpb.br/sistema/press5/index.php/UFPB/catalog/book/283" TargetMode="External"/><Relationship Id="rId248" Type="http://schemas.openxmlformats.org/officeDocument/2006/relationships/hyperlink" Target="http://www.editora.ufpb.br/sistema/press5/index.php/UFPB/catalog/book/318" TargetMode="External"/><Relationship Id="rId247" Type="http://schemas.openxmlformats.org/officeDocument/2006/relationships/hyperlink" Target="https://hdl.handle.net/1884/65364" TargetMode="External"/><Relationship Id="rId489" Type="http://schemas.openxmlformats.org/officeDocument/2006/relationships/hyperlink" Target="https://www.unoesc.edu.br/images/uploads/editora/Miolo_Vida_reprodu%c3%a7%c3%a3o_novo_2.pdf" TargetMode="External"/><Relationship Id="rId242" Type="http://schemas.openxmlformats.org/officeDocument/2006/relationships/hyperlink" Target="http://omp.ufgd.edu.br/omp/index.php/livrosabertos/catalog/view/108/230/511-1" TargetMode="External"/><Relationship Id="rId484" Type="http://schemas.openxmlformats.org/officeDocument/2006/relationships/hyperlink" Target="http://eduepb.uepb.edu.br/download/transmutacoes-no-jornalismo/?wpdmdl=224&amp;amp;masterkey=5af9a2ce27f25" TargetMode="External"/><Relationship Id="rId241" Type="http://schemas.openxmlformats.org/officeDocument/2006/relationships/hyperlink" Target="http://omp.ufgd.edu.br/omp/index.php/livrosabertos/catalog/view/246/242/527-1" TargetMode="External"/><Relationship Id="rId483" Type="http://schemas.openxmlformats.org/officeDocument/2006/relationships/hyperlink" Target="http://www.editora.ufpb.br/sistema/press5/index.php/UFPB/catalog/book/113" TargetMode="External"/><Relationship Id="rId240" Type="http://schemas.openxmlformats.org/officeDocument/2006/relationships/hyperlink" Target="https://www.fundaj.gov.br/images/stories/editora/livros/filhos_das_feiras_versao_portalpdf.pdf" TargetMode="External"/><Relationship Id="rId482" Type="http://schemas.openxmlformats.org/officeDocument/2006/relationships/hyperlink" Target="http://eduepb.uepb.edu.br/download/trabalhadoras-domesticas-trilhas-de-desigualdade-e-invisibilidade-social/?wpdmdl=348&amp;amp;masterkey=5b02c475e8be4" TargetMode="External"/><Relationship Id="rId481" Type="http://schemas.openxmlformats.org/officeDocument/2006/relationships/hyperlink" Target="http://www.editora.ufpb.br/sistema/press5/index.php/UFPB/catalog/book/372" TargetMode="External"/><Relationship Id="rId246" Type="http://schemas.openxmlformats.org/officeDocument/2006/relationships/hyperlink" Target="http://eduepb.uepb.edu.br/download/genero-participacao-politica-e-novas-sociabilidades-da-juventude/?wpdmdl=183&amp;amp;masterkey=5af99abbe83a1" TargetMode="External"/><Relationship Id="rId488" Type="http://schemas.openxmlformats.org/officeDocument/2006/relationships/hyperlink" Target="http://hdl.handle.net/10183/213344" TargetMode="External"/><Relationship Id="rId245" Type="http://schemas.openxmlformats.org/officeDocument/2006/relationships/hyperlink" Target="http://eduepb.uepb.edu.br/download/fundamentos-historicos/?wpdmdl=1045&amp;" TargetMode="External"/><Relationship Id="rId487" Type="http://schemas.openxmlformats.org/officeDocument/2006/relationships/hyperlink" Target="http://guaiaca.ufpel.edu.br/bitstream/prefix/4390/1/Um%20museu%20para%20todos.%20manual%20para%20programas%20de%20acessibilidade.pdf" TargetMode="External"/><Relationship Id="rId244" Type="http://schemas.openxmlformats.org/officeDocument/2006/relationships/hyperlink" Target="http://omp.ufgd.edu.br/omp/index.php/livrosabertos/catalog/view/109/229/510-1" TargetMode="External"/><Relationship Id="rId486" Type="http://schemas.openxmlformats.org/officeDocument/2006/relationships/hyperlink" Target="http://www.uesc.br/editora/livrosdigitais2015/tribunal_do_juri.pdf" TargetMode="External"/><Relationship Id="rId243" Type="http://schemas.openxmlformats.org/officeDocument/2006/relationships/hyperlink" Target="http://guaiaca.ufpel.edu.br/bitstream/prefix/4457/1/Fronteiras.pdf" TargetMode="External"/><Relationship Id="rId485" Type="http://schemas.openxmlformats.org/officeDocument/2006/relationships/hyperlink" Target="http://omp.ufgd.edu.br/omp/index.php/livrosabertos/catalog/view/23/21/68-1" TargetMode="External"/><Relationship Id="rId480" Type="http://schemas.openxmlformats.org/officeDocument/2006/relationships/hyperlink" Target="http://www.editora.ufpb.br/sistema/press5/index.php/UFPB/catalog/book/398" TargetMode="External"/><Relationship Id="rId239" Type="http://schemas.openxmlformats.org/officeDocument/2006/relationships/hyperlink" Target="https://www.unoesc.edu.br/images/uploads/editora/Miolo_Feminic%C3%ADdio_final.pdf" TargetMode="External"/><Relationship Id="rId238" Type="http://schemas.openxmlformats.org/officeDocument/2006/relationships/hyperlink" Target="https://www.editora.ufop.br/index.php/editora/catalog/view/40/27/92-1" TargetMode="External"/><Relationship Id="rId237" Type="http://schemas.openxmlformats.org/officeDocument/2006/relationships/hyperlink" Target="https://www.editoraargos.com.br/farol/editoraargos/ebook/fazendo-cidade-memoria-e-urbanizacao-no-extremo-oeste-catarinense/33248/" TargetMode="External"/><Relationship Id="rId479" Type="http://schemas.openxmlformats.org/officeDocument/2006/relationships/hyperlink" Target="http://www.uesc.br/editora/livrosdigitais2020/com_e_edu5.pdf" TargetMode="External"/><Relationship Id="rId236" Type="http://schemas.openxmlformats.org/officeDocument/2006/relationships/hyperlink" Target="http://eduepb.uepb.edu.br/download/facebook-and-education/?wpdmdl=182&amp;amp;masterkey=5af99a4d62c03" TargetMode="External"/><Relationship Id="rId478" Type="http://schemas.openxmlformats.org/officeDocument/2006/relationships/hyperlink" Target="https://www.unoesc.edu.br/images/uploads/editora/Miolo_Teorias_da_Justi%c3%a7a.pdf" TargetMode="External"/><Relationship Id="rId231" Type="http://schemas.openxmlformats.org/officeDocument/2006/relationships/hyperlink" Target="http://guaiaca.ufpel.edu.br/bitstream/prefix/4171/3/Etapas%20da%20constru%c3%a7%c3%a3o.pdf" TargetMode="External"/><Relationship Id="rId473" Type="http://schemas.openxmlformats.org/officeDocument/2006/relationships/hyperlink" Target="http://editora.metodista.br/livros-gratis/tensoes-em-rede/at_download/file" TargetMode="External"/><Relationship Id="rId230" Type="http://schemas.openxmlformats.org/officeDocument/2006/relationships/hyperlink" Target="http://campomourao.unespar.edu.br/editora/obras-digitais/estudos-urbanos-conceitos-definicoes-e-debates" TargetMode="External"/><Relationship Id="rId472" Type="http://schemas.openxmlformats.org/officeDocument/2006/relationships/hyperlink" Target="http://eduepb.uepb.edu.br/download/tensao-entre-justica-ambiental-e-social-na-america-latina/?wpdmdl=220&amp;amp;masterkey=5af9a2222460b" TargetMode="External"/><Relationship Id="rId471" Type="http://schemas.openxmlformats.org/officeDocument/2006/relationships/hyperlink" Target="https://www.unoesc.edu.br/images/uploads/editora/Temas_sobre_a_constitucionaliza%c3%a7%c3%a3o_dos_direitos_fundamentais.pdf" TargetMode="External"/><Relationship Id="rId470" Type="http://schemas.openxmlformats.org/officeDocument/2006/relationships/hyperlink" Target="http://omp.ufgd.edu.br/omp/index.php/livrosabertos/catalog/view/45/38/110-1" TargetMode="External"/><Relationship Id="rId235" Type="http://schemas.openxmlformats.org/officeDocument/2006/relationships/hyperlink" Target="http://www.uesc.br/editora/livrosdigitais2015/expresso_esclt.pdf" TargetMode="External"/><Relationship Id="rId477" Type="http://schemas.openxmlformats.org/officeDocument/2006/relationships/hyperlink" Target="https://www.unoesc.edu.br/images/uploads/editora/S%c3%a9rie_Direitos_Fundamentais_Sociais_Carlos_Robison_.pdf" TargetMode="External"/><Relationship Id="rId234" Type="http://schemas.openxmlformats.org/officeDocument/2006/relationships/hyperlink" Target="http://repositorio.ufes.br/handle/10/803" TargetMode="External"/><Relationship Id="rId476" Type="http://schemas.openxmlformats.org/officeDocument/2006/relationships/hyperlink" Target="https://www.unoesc.edu.br/images/uploads/editora/S%c3%a9rie_Direitos_Fundamentais_Civis_Narciso_Renato_.pdf" TargetMode="External"/><Relationship Id="rId233" Type="http://schemas.openxmlformats.org/officeDocument/2006/relationships/hyperlink" Target="https://www.ufcspa.edu.br/editora_log/download.php?cod=015&amp;tipo=pdf" TargetMode="External"/><Relationship Id="rId475" Type="http://schemas.openxmlformats.org/officeDocument/2006/relationships/hyperlink" Target="https://www.unoesc.edu.br/images/uploads/editora/Teorias_da_justi%c3%a7a.pdf" TargetMode="External"/><Relationship Id="rId232" Type="http://schemas.openxmlformats.org/officeDocument/2006/relationships/hyperlink" Target="http://eduepb.uepb.edu.br/download/evasione-e-tracciabilita/?wpdmdl=1072&amp;" TargetMode="External"/><Relationship Id="rId474" Type="http://schemas.openxmlformats.org/officeDocument/2006/relationships/hyperlink" Target="https://www.unoesc.edu.br/images/uploads/editora/Miolo_Ensaios_2018.pdf" TargetMode="External"/><Relationship Id="rId426" Type="http://schemas.openxmlformats.org/officeDocument/2006/relationships/hyperlink" Target="https://www.unoesc.edu.br/images/uploads/editora/protecao_dos_infantes.pdf" TargetMode="External"/><Relationship Id="rId425" Type="http://schemas.openxmlformats.org/officeDocument/2006/relationships/hyperlink" Target="https://doi.org/10" TargetMode="External"/><Relationship Id="rId424" Type="http://schemas.openxmlformats.org/officeDocument/2006/relationships/hyperlink" Target="http://www.editora.puc-rio.br/media/ebook_comunicar_25anos.pdf" TargetMode="External"/><Relationship Id="rId423" Type="http://schemas.openxmlformats.org/officeDocument/2006/relationships/hyperlink" Target="http://omp.ufgd.edu.br/omp/index.php/livrosabertos/catalog/view/173/173/453-1" TargetMode="External"/><Relationship Id="rId429" Type="http://schemas.openxmlformats.org/officeDocument/2006/relationships/hyperlink" Target="https://www.unoesc.edu.br/images/uploads/editora/Miolo_Pueblos_Indigenas.pdf" TargetMode="External"/><Relationship Id="rId428" Type="http://schemas.openxmlformats.org/officeDocument/2006/relationships/hyperlink" Target="https://www.unoesc.edu.br/images/uploads/editora/Pueblos_ind%c3%adgenas_reflexiones_contemporaneas_desde_Brasil.pdf" TargetMode="External"/><Relationship Id="rId427" Type="http://schemas.openxmlformats.org/officeDocument/2006/relationships/hyperlink" Target="https://paginas.uepa.br/eduepa/wp-content/uploads/2020/07/protocolo_warao.pdf" TargetMode="External"/><Relationship Id="rId422" Type="http://schemas.openxmlformats.org/officeDocument/2006/relationships/hyperlink" Target="http://www.uesc.br/editora/livrosdigitais_20170620/com_e_edu2.pdf" TargetMode="External"/><Relationship Id="rId421" Type="http://schemas.openxmlformats.org/officeDocument/2006/relationships/hyperlink" Target="http://www2.ufac.br/editora/livros/procedimentos-e-tecnicas-producao-familiar.pdf" TargetMode="External"/><Relationship Id="rId420" Type="http://schemas.openxmlformats.org/officeDocument/2006/relationships/hyperlink" Target="https://www.unoesc.edu.br/images/uploads/editora/problemas_de_direitos_fundamentais_civis.pdf" TargetMode="External"/><Relationship Id="rId415" Type="http://schemas.openxmlformats.org/officeDocument/2006/relationships/hyperlink" Target="http://repositorio.unesc.net/handle/1/3365" TargetMode="External"/><Relationship Id="rId414" Type="http://schemas.openxmlformats.org/officeDocument/2006/relationships/hyperlink" Target="http://eduepb.uepb.edu.br/download/povos-indigenas-e-relacoes-de-poder-olhares-sobre-a-america-do-sul/?wpdmdl=878&amp;" TargetMode="External"/><Relationship Id="rId413" Type="http://schemas.openxmlformats.org/officeDocument/2006/relationships/hyperlink" Target="http://www.uesc.br/editora/livrosdigitais2017/por_uma_teoria_coisa_julgada.pdf" TargetMode="External"/><Relationship Id="rId412" Type="http://schemas.openxmlformats.org/officeDocument/2006/relationships/hyperlink" Target="http://repositorio.ufes.br/bitstream/10/1413/1/Popular%20participation%20on%20the%20elaboration%20of%20municipal%20public%20budgets%20%3A%20the%20Esp%C3%ADrito%20Santo%20case%201983%20to%201994.pdf" TargetMode="External"/><Relationship Id="rId419" Type="http://schemas.openxmlformats.org/officeDocument/2006/relationships/hyperlink" Target="http://bit.ly/Presuncao-de-inocencia" TargetMode="External"/><Relationship Id="rId418" Type="http://schemas.openxmlformats.org/officeDocument/2006/relationships/hyperlink" Target="https://www.ufpi.br/arquivos_download/arquivos/EDUFPI/LIVRO_PRECARIZACAO_DO_TRABALHO_14-12.pdf" TargetMode="External"/><Relationship Id="rId417" Type="http://schemas.openxmlformats.org/officeDocument/2006/relationships/hyperlink" Target="http://editora.metodista.br/livros-gratis/E-book%20-%20Praticas%20jornalisticas.pdf/at_download/file" TargetMode="External"/><Relationship Id="rId416" Type="http://schemas.openxmlformats.org/officeDocument/2006/relationships/hyperlink" Target="http://www.uesc.br/editora/livrosdigitais_20170620/com_e_edu3.pdf" TargetMode="External"/><Relationship Id="rId411" Type="http://schemas.openxmlformats.org/officeDocument/2006/relationships/hyperlink" Target="https://www.ufpi.br/arquivos_download/arquivos/EDUFPI/LIVRO_POLITICAS_SOCIAIS_REV_1.pdf" TargetMode="External"/><Relationship Id="rId410" Type="http://schemas.openxmlformats.org/officeDocument/2006/relationships/hyperlink" Target="http://hdl.handle.net/10183/213377" TargetMode="External"/><Relationship Id="rId206" Type="http://schemas.openxmlformats.org/officeDocument/2006/relationships/hyperlink" Target="http://www.uesc.br/editora/livrosdigitais2016/ensino_superior_em_turismo_hotelaria.pdf" TargetMode="External"/><Relationship Id="rId448" Type="http://schemas.openxmlformats.org/officeDocument/2006/relationships/hyperlink" Target="http://www.editora.ufpb.br/sistema/press5/index.php/UFPB/catalog/book/317" TargetMode="External"/><Relationship Id="rId205" Type="http://schemas.openxmlformats.org/officeDocument/2006/relationships/hyperlink" Target="http://repositorio.unesc.net/handle/1/5140" TargetMode="External"/><Relationship Id="rId447" Type="http://schemas.openxmlformats.org/officeDocument/2006/relationships/hyperlink" Target="http://eduepb.uepb.edu.br/download/saude-e-seguranca-do-trabalho/?wpdmdl=1155&amp;" TargetMode="External"/><Relationship Id="rId204" Type="http://schemas.openxmlformats.org/officeDocument/2006/relationships/hyperlink" Target="https://www.unoesc.edu.br/images/uploads/editora/Miolo_-_Riva_Freitas_-_Ensaios_sobre_a_Constitucionaliza%c3%a7%c3%a3o.pdf" TargetMode="External"/><Relationship Id="rId446" Type="http://schemas.openxmlformats.org/officeDocument/2006/relationships/hyperlink" Target="http://eduepb.uepb.edu.br/download/saude-do-trabalhador/?wpdmdl=617&amp;amp;masterkey=5caf51dc9f0dd" TargetMode="External"/><Relationship Id="rId203" Type="http://schemas.openxmlformats.org/officeDocument/2006/relationships/hyperlink" Target="http://www2.ufac.br/editora/livros/ensaios-juridicos.pdf" TargetMode="External"/><Relationship Id="rId445" Type="http://schemas.openxmlformats.org/officeDocument/2006/relationships/hyperlink" Target="http://portal.unemat.br/media/files/Editora/Saberes%20Juridicos%20-%20E-book%20-%20Aprova%C3%A7%C3%A3o%20final.pdf" TargetMode="External"/><Relationship Id="rId209" Type="http://schemas.openxmlformats.org/officeDocument/2006/relationships/hyperlink" Target="http://repositorio.ufba.br/ri/handle/ri/17158" TargetMode="External"/><Relationship Id="rId208" Type="http://schemas.openxmlformats.org/officeDocument/2006/relationships/hyperlink" Target="http://eduepb.uepb.edu.br/download/entre-comunicacoes/?wpdmdl=797&amp;" TargetMode="External"/><Relationship Id="rId207" Type="http://schemas.openxmlformats.org/officeDocument/2006/relationships/hyperlink" Target="http://eduepb.uepb.edu.br/download/entre-a-diplomacia-ambiental-e-a-intervencao-humanitaria/?wpdmdl=444&amp;amp;masterkey=5b61ac5c2f8d6" TargetMode="External"/><Relationship Id="rId449" Type="http://schemas.openxmlformats.org/officeDocument/2006/relationships/hyperlink" Target="http://www.editora.ufpb.br/sistema/press5/index.php/UFPB/catalog/book/209" TargetMode="External"/><Relationship Id="rId440" Type="http://schemas.openxmlformats.org/officeDocument/2006/relationships/hyperlink" Target="https://portal-archipelagus.azurewebsites.net/farol/edunioeste/ebook/relatos-de-experiencias-exitosas-das-ies-formacao-do-docente-do-ensino-superior-assistencia-estudantil-e-assistencia-pedagogica/1204359/" TargetMode="External"/><Relationship Id="rId202" Type="http://schemas.openxmlformats.org/officeDocument/2006/relationships/hyperlink" Target="https://www.unoesc.edu.br/images/uploads/editora/Ensaios_e_caminhos_para_direitos_fundamentais_e_seguran%c3%a7a_social.pdf" TargetMode="External"/><Relationship Id="rId444" Type="http://schemas.openxmlformats.org/officeDocument/2006/relationships/hyperlink" Target="http://omp.ufgd.edu.br/omp/index.php/livrosabertos/catalog/view/54/54/138-1" TargetMode="External"/><Relationship Id="rId201" Type="http://schemas.openxmlformats.org/officeDocument/2006/relationships/hyperlink" Target="http://www.editora.ufpb.br/sistema/press5/index.php/UFPB/catalog/book/352" TargetMode="External"/><Relationship Id="rId443" Type="http://schemas.openxmlformats.org/officeDocument/2006/relationships/hyperlink" Target="http://www.uesc.br/editora/livrosdigitais2018/repre-tur.pdf" TargetMode="External"/><Relationship Id="rId200" Type="http://schemas.openxmlformats.org/officeDocument/2006/relationships/hyperlink" Target="https://www.fundaj.gov.br/images/stories/editora/livros/livro_energia.pdf" TargetMode="External"/><Relationship Id="rId442" Type="http://schemas.openxmlformats.org/officeDocument/2006/relationships/hyperlink" Target="http://omp.ufgd.edu.br/omp/index.php/livrosabertos/catalog/view/181/166/446-1" TargetMode="External"/><Relationship Id="rId441" Type="http://schemas.openxmlformats.org/officeDocument/2006/relationships/hyperlink" Target="https://www.unoesc.edu.br/images/uploads/editora/Miolo_-_Repensando_a_Ci%C3%AAncia.pdf" TargetMode="External"/><Relationship Id="rId437" Type="http://schemas.openxmlformats.org/officeDocument/2006/relationships/hyperlink" Target="http://eduepb.uepb.edu.br/download/relaciones-de-poder-en-la-gestion-comunitaria-del-agua-el-territorio-y-lo-social-como-fuerzas/?wpdmdl=381&amp;amp;masterkey=5b04301b692c9" TargetMode="External"/><Relationship Id="rId436" Type="http://schemas.openxmlformats.org/officeDocument/2006/relationships/hyperlink" Target="http://ufrr.br/editora/index.php/editais?download=401:refugiados-ambientais" TargetMode="External"/><Relationship Id="rId435" Type="http://schemas.openxmlformats.org/officeDocument/2006/relationships/hyperlink" Target="http://eduepb.uepb.edu.br/download/reforma-trabalhista/?wpdmdl=566&amp;amp;masterkey=5c0a6cee891bf" TargetMode="External"/><Relationship Id="rId434" Type="http://schemas.openxmlformats.org/officeDocument/2006/relationships/hyperlink" Target="http://www2.ufac.br/editora/livros/rasgos-literarios.pdf" TargetMode="External"/><Relationship Id="rId439" Type="http://schemas.openxmlformats.org/officeDocument/2006/relationships/hyperlink" Target="https://www.unoesc.edu.br/images/uploads/editora/Miolo_relat%C3%B3rio_ISBN_online.pdf" TargetMode="External"/><Relationship Id="rId438" Type="http://schemas.openxmlformats.org/officeDocument/2006/relationships/hyperlink" Target="http://eduepb.uepb.edu.br/download/relacoes-internacionais-na-sala-de-aula-ensino-e-aprendizado-ativo-e-outras-estorias/?wpdmdl=406&amp;amp;masterkey=5b2bcd6dcaf3a" TargetMode="External"/><Relationship Id="rId433" Type="http://schemas.openxmlformats.org/officeDocument/2006/relationships/hyperlink" Target="http://www.uesc.br/editora/livrosdigitais2017/serie_comunicacao_educacao_vol1.pdf" TargetMode="External"/><Relationship Id="rId432" Type="http://schemas.openxmlformats.org/officeDocument/2006/relationships/hyperlink" Target="https://www.ufpi.br/arquivos_download/arquivos/EDUFPI/Livro_valendo210818.pdf" TargetMode="External"/><Relationship Id="rId431" Type="http://schemas.openxmlformats.org/officeDocument/2006/relationships/hyperlink" Target="http://repositorio.ufpel.edu.br:8080/bitstream/prefix/3797/1/1_QUEM%20TEM%20MEDO%20DO%20CURURU_S%C3%89RIE%20P%C3%93S%20GRADUA%C3%87%C3%83O.pdf" TargetMode="External"/><Relationship Id="rId430" Type="http://schemas.openxmlformats.org/officeDocument/2006/relationships/hyperlink" Target="http://editora.ifpb.edu.br/index.php/ifpb/catalog/book/78"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unoesc.edu.br/images/uploads/editora/arquitetura_e_urbanismo.pdf" TargetMode="External"/><Relationship Id="rId2" Type="http://schemas.openxmlformats.org/officeDocument/2006/relationships/hyperlink" Target="http://editora.metodista.br/livros-gratis/Cartilha%20Solo%20Cimento.pdf/at_download/file" TargetMode="External"/><Relationship Id="rId3" Type="http://schemas.openxmlformats.org/officeDocument/2006/relationships/hyperlink" Target="http://repositorio.ufes.br/bitstream/10/6802/1/Versao%20digital_comunidades%20urbanas%20energeticamente%20eficientes.pdf" TargetMode="External"/><Relationship Id="rId4" Type="http://schemas.openxmlformats.org/officeDocument/2006/relationships/hyperlink" Target="http://editora.ifpb.edu.br/index.php/ifpb/catalog/book/81" TargetMode="External"/><Relationship Id="rId9" Type="http://schemas.openxmlformats.org/officeDocument/2006/relationships/hyperlink" Target="http://editora.ifpb.edu.br/index.php/ifpb/catalog/book/30" TargetMode="External"/><Relationship Id="rId5" Type="http://schemas.openxmlformats.org/officeDocument/2006/relationships/hyperlink" Target="https://www.dropbox.com/s/fvox74fo0h22lre/ebook_Educacao_Ambiental_2016.pdf?dl=0" TargetMode="External"/><Relationship Id="rId6" Type="http://schemas.openxmlformats.org/officeDocument/2006/relationships/hyperlink" Target="http://editora.ifpb.edu.br/index.php/ifpb/catalog/book/111" TargetMode="External"/><Relationship Id="rId7" Type="http://schemas.openxmlformats.org/officeDocument/2006/relationships/hyperlink" Target="http://campomourao.unespar.edu.br/editora/obras-digitais/estacoes-de-tratamento-de-esgoto-por-zona-de-raizes-ete" TargetMode="External"/><Relationship Id="rId8" Type="http://schemas.openxmlformats.org/officeDocument/2006/relationships/hyperlink" Target="http://campomourao.unespar.edu.br/editora/obras-digitais/estacoes-de-tratamento-de-esgotos-por-zona-de-raizes-ete-e-recuperacao-de-nascentes-na-casa-familiar-rural-de-iretama-2013-pr" TargetMode="External"/><Relationship Id="rId40" Type="http://schemas.openxmlformats.org/officeDocument/2006/relationships/hyperlink" Target="http://omp.ufgd.edu.br/omp/index.php/livrosabertos/catalog/view/15/14/48-2" TargetMode="External"/><Relationship Id="rId41" Type="http://schemas.openxmlformats.org/officeDocument/2006/relationships/drawing" Target="../drawings/drawing8.xml"/><Relationship Id="rId43" Type="http://schemas.openxmlformats.org/officeDocument/2006/relationships/table" Target="../tables/table7.xml"/><Relationship Id="rId31" Type="http://schemas.openxmlformats.org/officeDocument/2006/relationships/hyperlink" Target="https://www.dropbox.com/s/q5ltcltbf15khbl/ebook_residuos_solidos_2015.pdf?dl=0" TargetMode="External"/><Relationship Id="rId30" Type="http://schemas.openxmlformats.org/officeDocument/2006/relationships/hyperlink" Target="https://www.dropbox.com/s/wp06pini2mzr1jv/ebook_Tecnologias_e_Boas_Praticas.pdf?dl=0" TargetMode="External"/><Relationship Id="rId33" Type="http://schemas.openxmlformats.org/officeDocument/2006/relationships/hyperlink" Target="https://www.editora.ufop.br/index.php/editora/catalog/view/161/128/423-1" TargetMode="External"/><Relationship Id="rId32" Type="http://schemas.openxmlformats.org/officeDocument/2006/relationships/hyperlink" Target="http://omp.ufgd.edu.br/omp/index.php/livrosabertos/catalog/view/230/110/387-1" TargetMode="External"/><Relationship Id="rId35" Type="http://schemas.openxmlformats.org/officeDocument/2006/relationships/hyperlink" Target="https://paginas.uepa.br/eduepa/wp-content/uploads/2019/06/ENGENHARIA-DE-PRODU%C3%87%C3%83O-V1-05-07-2018.pdf" TargetMode="External"/><Relationship Id="rId34" Type="http://schemas.openxmlformats.org/officeDocument/2006/relationships/hyperlink" Target="http://campomourao.unespar.edu.br/editora/obras-digitais/sistema-de-tratamento-de-esgoto-modelo-bacia-de-evapotranspiracao-bet" TargetMode="External"/><Relationship Id="rId37" Type="http://schemas.openxmlformats.org/officeDocument/2006/relationships/hyperlink" Target="https://repositorio.ufsc.br/handle/123456789/187929" TargetMode="External"/><Relationship Id="rId36" Type="http://schemas.openxmlformats.org/officeDocument/2006/relationships/hyperlink" Target="https://paginas.uepa.br/eduepa/wp-content/uploads/2019/06/ENGENHARIA-DE-PRODU%C3%87%C3%83O-VOL-2.pdf" TargetMode="External"/><Relationship Id="rId39" Type="http://schemas.openxmlformats.org/officeDocument/2006/relationships/hyperlink" Target="http://omp.ufgd.edu.br/omp/index.php/livrosabertos/catalog/view/24/22/70-1" TargetMode="External"/><Relationship Id="rId38" Type="http://schemas.openxmlformats.org/officeDocument/2006/relationships/hyperlink" Target="http://www.editora.ufc.br/catalogo/76-engenharia-eletrica/979-transmissao-de-energia-eletrica-em-corrente-alternada" TargetMode="External"/><Relationship Id="rId20" Type="http://schemas.openxmlformats.org/officeDocument/2006/relationships/hyperlink" Target="https://www.dropbox.com/s/ffwlixroo7ex96r/Epersol_2017_Educacao_ambiental.pdf?dl=0" TargetMode="External"/><Relationship Id="rId22" Type="http://schemas.openxmlformats.org/officeDocument/2006/relationships/hyperlink" Target="https://www.dropbox.com/s/lduryv08741zjnq/Epersol_2017_Res%C3%ADduos_Industriais_e_Novas_Tecnologias.pdf?dl=0" TargetMode="External"/><Relationship Id="rId21" Type="http://schemas.openxmlformats.org/officeDocument/2006/relationships/hyperlink" Target="https://www.dropbox.com/s/dmxsvd1a2han61m/Epersol2017-ebook-gestaointegrada.pdf?dl=0" TargetMode="External"/><Relationship Id="rId24" Type="http://schemas.openxmlformats.org/officeDocument/2006/relationships/hyperlink" Target="https://drive.google.com/file/d/1ZTnBEOIoeiUclTN82a6tEp0KjvUjeoo3/view?usp=sharing" TargetMode="External"/><Relationship Id="rId23" Type="http://schemas.openxmlformats.org/officeDocument/2006/relationships/hyperlink" Target="https://www.dropbox.com/s/41yr6tosu5pv1mz/ebook_gestao%20publica%20e%20privada.pdf?dl=0" TargetMode="External"/><Relationship Id="rId26" Type="http://schemas.openxmlformats.org/officeDocument/2006/relationships/hyperlink" Target="https://www.dropbox.com/s/l5op883bc56n78s/Epersol_2016_Objetivos_do_DS.pdf?dl=0" TargetMode="External"/><Relationship Id="rId25" Type="http://schemas.openxmlformats.org/officeDocument/2006/relationships/hyperlink" Target="https://drive.google.com/file/d/15tiEwrEAmlkwTDRvjONnNRdmDLZDfL15/view?usp=sharing" TargetMode="External"/><Relationship Id="rId28" Type="http://schemas.openxmlformats.org/officeDocument/2006/relationships/hyperlink" Target="https://www.dropbox.com/s/utwl2p626icj3zb/ebook_residuos_solidos_2014.pdf?dl=0" TargetMode="External"/><Relationship Id="rId27" Type="http://schemas.openxmlformats.org/officeDocument/2006/relationships/hyperlink" Target="https://drive.google.com/file/d/1UcR7GjSAA-9I49s3If95SGu8evEZECcf/view?usp=sharing" TargetMode="External"/><Relationship Id="rId29" Type="http://schemas.openxmlformats.org/officeDocument/2006/relationships/hyperlink" Target="https://www.dropbox.com/s/2ajqmd5hg9oxaw9/ebook%202016%20-%20Epersol%202015%20-%20Gesta%20ambiental%20-%20final.pdf?dl=0" TargetMode="External"/><Relationship Id="rId11" Type="http://schemas.openxmlformats.org/officeDocument/2006/relationships/hyperlink" Target="http://www.editora.ufc.br/catalogo/76-engenharia-eletrica/980-geracao-hidroeletrica-e-eolioeletrica" TargetMode="External"/><Relationship Id="rId10" Type="http://schemas.openxmlformats.org/officeDocument/2006/relationships/hyperlink" Target="http://eduepb.uepb.edu.br/download/formacao-e-praticas-pedagogicas-multiplos-olhares-nas-ciencias-aeronauticas/?wpdmdl=890&amp;" TargetMode="External"/><Relationship Id="rId13" Type="http://schemas.openxmlformats.org/officeDocument/2006/relationships/hyperlink" Target="https://www.editora.ufop.br/index.php/editora/catalog/view/130/105/343-1" TargetMode="External"/><Relationship Id="rId12" Type="http://schemas.openxmlformats.org/officeDocument/2006/relationships/hyperlink" Target="http://editora.ifpb.edu.br/index.php/ifpb/catalog/book/231" TargetMode="External"/><Relationship Id="rId15" Type="http://schemas.openxmlformats.org/officeDocument/2006/relationships/hyperlink" Target="http://repositorio.ufes.br/bitstream/10/11417/1/Oportunidades_Enterradas.pdf" TargetMode="External"/><Relationship Id="rId14" Type="http://schemas.openxmlformats.org/officeDocument/2006/relationships/hyperlink" Target="http://editora.ifpb.edu.br/index.php/ifpb/catalog/book/245" TargetMode="External"/><Relationship Id="rId17" Type="http://schemas.openxmlformats.org/officeDocument/2006/relationships/hyperlink" Target="http://dx.doi.org/10.21826/9788563800237" TargetMode="External"/><Relationship Id="rId16" Type="http://schemas.openxmlformats.org/officeDocument/2006/relationships/hyperlink" Target="https://www2.unifap.br/editora/files/2019/06/pesquisa-em-arquitetura-e-urbanismo-na-amazonia.pdf" TargetMode="External"/><Relationship Id="rId19" Type="http://schemas.openxmlformats.org/officeDocument/2006/relationships/hyperlink" Target="http://editora.ifpb.edu.br/index.php/ifpb/catalog/book/13" TargetMode="External"/><Relationship Id="rId18" Type="http://schemas.openxmlformats.org/officeDocument/2006/relationships/hyperlink" Target="http://repositorio.ufes.br/handle/10/6759" TargetMode="External"/></Relationships>
</file>

<file path=xl/worksheets/_rels/sheet9.xml.rels><?xml version="1.0" encoding="UTF-8" standalone="yes"?><Relationships xmlns="http://schemas.openxmlformats.org/package/2006/relationships"><Relationship Id="rId190" Type="http://schemas.openxmlformats.org/officeDocument/2006/relationships/hyperlink" Target="http://guaiaca.ufpel.edu.br/bitstream/prefix/4391/1/Livro_Estudos_sobre_Aquisicao_Linguagem_Escrita_VERS%c3%83O_DIGITAL.pdf" TargetMode="External"/><Relationship Id="rId194" Type="http://schemas.openxmlformats.org/officeDocument/2006/relationships/hyperlink" Target="http://editora.metodista.br/livros-gratis/eeeunomundo.pdf/at_download/file" TargetMode="External"/><Relationship Id="rId193" Type="http://schemas.openxmlformats.org/officeDocument/2006/relationships/hyperlink" Target="http://eduepb.uepb.edu.br/download/romanceiro-tradicional/?wpdmdl=1091&amp;" TargetMode="External"/><Relationship Id="rId192" Type="http://schemas.openxmlformats.org/officeDocument/2006/relationships/hyperlink" Target="https://www2.unifap.br/editora/files/2014/12/E-book_Promad.pdf" TargetMode="External"/><Relationship Id="rId191" Type="http://schemas.openxmlformats.org/officeDocument/2006/relationships/hyperlink" Target="https://drive.google.com/file/d/18Qu8-dgV89zrAfji7cqYyfpP42DnDgWF/view?usp=sharing" TargetMode="External"/><Relationship Id="rId187" Type="http://schemas.openxmlformats.org/officeDocument/2006/relationships/hyperlink" Target="http://eduepb.uepb.edu.br/download/literatura-popular-i/?wpdmdl=1096&amp;" TargetMode="External"/><Relationship Id="rId186" Type="http://schemas.openxmlformats.org/officeDocument/2006/relationships/hyperlink" Target="http://www.unemat.br/reitoria/editora/downloads/eletronico/ebook_estudos_literarios.pdf" TargetMode="External"/><Relationship Id="rId185" Type="http://schemas.openxmlformats.org/officeDocument/2006/relationships/hyperlink" Target="http://omp.ufgd.edu.br/omp/index.php/livrosabertos/catalog/view/101/240/521-1" TargetMode="External"/><Relationship Id="rId184" Type="http://schemas.openxmlformats.org/officeDocument/2006/relationships/hyperlink" Target="http://www.uesc.br/editora/livrosdigitais_20140513/caderno_de_aula_7_estudos%20comparados.pdf" TargetMode="External"/><Relationship Id="rId189" Type="http://schemas.openxmlformats.org/officeDocument/2006/relationships/hyperlink" Target="http://ufrr.br/editora/index.php/editais?download=410" TargetMode="External"/><Relationship Id="rId188" Type="http://schemas.openxmlformats.org/officeDocument/2006/relationships/hyperlink" Target="http://eduepb.uepb.edu.br/download/estudos-literarios-ii/?wpdmdl=1094&amp;" TargetMode="External"/><Relationship Id="rId183" Type="http://schemas.openxmlformats.org/officeDocument/2006/relationships/hyperlink" Target="http://www.editora.ufpb.br/sistema/press5/index.php/UFPB/catalog/book/313" TargetMode="External"/><Relationship Id="rId182" Type="http://schemas.openxmlformats.org/officeDocument/2006/relationships/hyperlink" Target="http://www.uesc.br/editora/livrosdigitais2017/estrada_luz.pdf" TargetMode="External"/><Relationship Id="rId181" Type="http://schemas.openxmlformats.org/officeDocument/2006/relationships/hyperlink" Target="http://www.uesc.br/editora/livrosdigitais2015/estoria_facao_chuva.pdf" TargetMode="External"/><Relationship Id="rId180" Type="http://schemas.openxmlformats.org/officeDocument/2006/relationships/hyperlink" Target="http://www2.ufac.br/editora/livros/estetica-da-matamata.pdf" TargetMode="External"/><Relationship Id="rId176" Type="http://schemas.openxmlformats.org/officeDocument/2006/relationships/hyperlink" Target="https://www.editora.ufop.br/index.php/editora/catalog/view/157/126/413-1" TargetMode="External"/><Relationship Id="rId175" Type="http://schemas.openxmlformats.org/officeDocument/2006/relationships/hyperlink" Target="https://www.eduerj.com/eng/?product=entrelacando-olhares-por-uma-educacao-planetaria" TargetMode="External"/><Relationship Id="rId174" Type="http://schemas.openxmlformats.org/officeDocument/2006/relationships/hyperlink" Target="http://eduepb.uepb.edu.br/download/entre-uma-coisa-e-outra/?wpdmdl=861&amp;" TargetMode="External"/><Relationship Id="rId173" Type="http://schemas.openxmlformats.org/officeDocument/2006/relationships/hyperlink" Target="https://www2.unifap.br/editora/files/2019/02/Ensino-discursos-e-relacoes-sociais.pdf" TargetMode="External"/><Relationship Id="rId179" Type="http://schemas.openxmlformats.org/officeDocument/2006/relationships/hyperlink" Target="https://repositorio.ufsc.br/handle/123456789/187732" TargetMode="External"/><Relationship Id="rId178" Type="http://schemas.openxmlformats.org/officeDocument/2006/relationships/hyperlink" Target="https://www.eduerj.com/eng/?product=escritores-criticos-e-leitores-fora-do-lugar-contemporaneos-na-cena-da-globalizacao-ebook" TargetMode="External"/><Relationship Id="rId177" Type="http://schemas.openxmlformats.org/officeDocument/2006/relationships/hyperlink" Target="http://omp.ufgd.edu.br/omp/index.php/livrosabertos/catalog/view/100/241/522-1" TargetMode="External"/><Relationship Id="rId198" Type="http://schemas.openxmlformats.org/officeDocument/2006/relationships/hyperlink" Target="http://www.uesc.br/editora/livrosdigitais/expressao_poetica.pdf" TargetMode="External"/><Relationship Id="rId197" Type="http://schemas.openxmlformats.org/officeDocument/2006/relationships/hyperlink" Target="https://www2.unifap.br/editora/files/2014/12/Experi%c3%aancias-e-reflex%c3%b5es-sobre-a-educa%c3%a7%c3%a3o-de-l%c3%adnguas-adicionais-V%c3%a1rios-autores-2016.pdf" TargetMode="External"/><Relationship Id="rId196" Type="http://schemas.openxmlformats.org/officeDocument/2006/relationships/hyperlink" Target="http://www.eduff.uff.br/ebooks/Experiencia-do-limite.pdf" TargetMode="External"/><Relationship Id="rId195" Type="http://schemas.openxmlformats.org/officeDocument/2006/relationships/hyperlink" Target="https://www.eduerj.com/eng/?product=euclides-para-jovens-leitores-ebook" TargetMode="External"/><Relationship Id="rId199" Type="http://schemas.openxmlformats.org/officeDocument/2006/relationships/hyperlink" Target="http://www.uesc.br/editora/livrosdigitais2017/fazenda_conto_fazendo_de_conta.pdf" TargetMode="External"/><Relationship Id="rId150" Type="http://schemas.openxmlformats.org/officeDocument/2006/relationships/hyperlink" Target="http://editora.ifpb.edu.br/index.php/ifpb/catalog/book/10" TargetMode="External"/><Relationship Id="rId392" Type="http://schemas.openxmlformats.org/officeDocument/2006/relationships/hyperlink" Target="http://bit.ly/Portugues-brasileiro-II-01" TargetMode="External"/><Relationship Id="rId391" Type="http://schemas.openxmlformats.org/officeDocument/2006/relationships/hyperlink" Target="http://cdn.ueg.edu.br/source/editora_ueg/conteudo_extensao/11496/ebook_portugalidade_2020.pdf" TargetMode="External"/><Relationship Id="rId390" Type="http://schemas.openxmlformats.org/officeDocument/2006/relationships/hyperlink" Target="http://repositorio.ufes.br/bitstream/10/1278/1/Livro%20edufes%20Por%20que%20%C3%A9%20importante%20ler%20literatura.pdf" TargetMode="External"/><Relationship Id="rId1" Type="http://schemas.openxmlformats.org/officeDocument/2006/relationships/hyperlink" Target="https://www.ufpi.br/arquivos_download/arquivos/EDUFPI/1_MEL.pdf" TargetMode="External"/><Relationship Id="rId2" Type="http://schemas.openxmlformats.org/officeDocument/2006/relationships/hyperlink" Target="http://repositorio.ufpel.edu.br:8080/bitstream/prefix/3736/1/20%20ANOS%20EM%20CENA%20N%c3%9aCLEO%20DE%20TEATRO%20UFPel.pdf" TargetMode="External"/><Relationship Id="rId3" Type="http://schemas.openxmlformats.org/officeDocument/2006/relationships/hyperlink" Target="http://omp.ufgd.edu.br/omp/index.php/livrosabertos/catalog/view/65/69/237-1" TargetMode="External"/><Relationship Id="rId149" Type="http://schemas.openxmlformats.org/officeDocument/2006/relationships/hyperlink" Target="http://www.edufu.ufu.br/sites/edufu.ufu.br/files/como_montar_seu_diario_de_ideias_4.pdf" TargetMode="External"/><Relationship Id="rId4" Type="http://schemas.openxmlformats.org/officeDocument/2006/relationships/hyperlink" Target="http://omp.ufgd.edu.br/omp/index.php/livrosabertos/catalog/view/1/1/28-1" TargetMode="External"/><Relationship Id="rId148" Type="http://schemas.openxmlformats.org/officeDocument/2006/relationships/hyperlink" Target="http://www.edufu.ufu.br/sites/edufu.ufu.br/files/diario_de_ideias_ebook_2020_1.pdf" TargetMode="External"/><Relationship Id="rId9" Type="http://schemas.openxmlformats.org/officeDocument/2006/relationships/hyperlink" Target="https://bit.ly/A-construcao-da-gramatica" TargetMode="External"/><Relationship Id="rId143" Type="http://schemas.openxmlformats.org/officeDocument/2006/relationships/hyperlink" Target="https://www.eduerj.com/eng/?product=desdobramentos-do-corpo-no-seculo-xxi" TargetMode="External"/><Relationship Id="rId385" Type="http://schemas.openxmlformats.org/officeDocument/2006/relationships/hyperlink" Target="http://editora.metodista.br/livros-gratis/Plantando%20Sonhos%202016.pdf/at_download/file" TargetMode="External"/><Relationship Id="rId142" Type="http://schemas.openxmlformats.org/officeDocument/2006/relationships/hyperlink" Target="http://editora.metodista.br/livros-gratis/Desculpem-nos%20-%20mas%20estamos%20em%20reforma....pdf/at_download/file" TargetMode="External"/><Relationship Id="rId384" Type="http://schemas.openxmlformats.org/officeDocument/2006/relationships/hyperlink" Target="http://repositorio.unesc.net/handle/1/5302" TargetMode="External"/><Relationship Id="rId141" Type="http://schemas.openxmlformats.org/officeDocument/2006/relationships/hyperlink" Target="http://www.editora.ufrj.br/DynamicItems/livrosabertos-1/Livro_Desconversa.pdf" TargetMode="External"/><Relationship Id="rId383" Type="http://schemas.openxmlformats.org/officeDocument/2006/relationships/hyperlink" Target="http://omp.ufgd.edu.br/omp/index.php/livrosabertos/catalog/view/165/180/461-1" TargetMode="External"/><Relationship Id="rId140" Type="http://schemas.openxmlformats.org/officeDocument/2006/relationships/hyperlink" Target="http://www.eduff.uff.br/ebooks/De-volta-a-Roland-Barthes.pdf" TargetMode="External"/><Relationship Id="rId382" Type="http://schemas.openxmlformats.org/officeDocument/2006/relationships/hyperlink" Target="http://repositorio.ufes.br/handle/10/6780" TargetMode="External"/><Relationship Id="rId5" Type="http://schemas.openxmlformats.org/officeDocument/2006/relationships/hyperlink" Target="https://repositorio.ufba.br/ri/handle/ri/21613" TargetMode="External"/><Relationship Id="rId147" Type="http://schemas.openxmlformats.org/officeDocument/2006/relationships/hyperlink" Target="http://eduepb.uepb.edu.br/download/dialogos-silenciosos/?wpdmdl=691&amp;amp;masterkey=5cb74485e63d6" TargetMode="External"/><Relationship Id="rId389" Type="http://schemas.openxmlformats.org/officeDocument/2006/relationships/hyperlink" Target="http://eduepb.uepb.edu.br/download/poiesis-do-real-literatura-e-multiplicidade-vol-2/?wpdmdl=764&amp;amp;masterkey=5d24960030c13" TargetMode="External"/><Relationship Id="rId6" Type="http://schemas.openxmlformats.org/officeDocument/2006/relationships/hyperlink" Target="http://www.uesc.br/editora/livrosdigitais2017/a_aventura_de_um_sapo.pdf" TargetMode="External"/><Relationship Id="rId146" Type="http://schemas.openxmlformats.org/officeDocument/2006/relationships/hyperlink" Target="http://ufrr.br/editora/index.php/editais?download=412" TargetMode="External"/><Relationship Id="rId388" Type="http://schemas.openxmlformats.org/officeDocument/2006/relationships/hyperlink" Target="http://eduepb.uepb.edu.br/download/poiesis-do-real-vol-1/?wpdmdl=768&amp;amp;masterkey=5d2496fc5d06c" TargetMode="External"/><Relationship Id="rId7" Type="http://schemas.openxmlformats.org/officeDocument/2006/relationships/hyperlink" Target="http://www.uesc.br/editora/livrosdigitais2015/a_casa_verde.pdf" TargetMode="External"/><Relationship Id="rId145" Type="http://schemas.openxmlformats.org/officeDocument/2006/relationships/hyperlink" Target="http://www.uesc.br/editora/livrosdigitais2018/desen-pro-audio.pdf" TargetMode="External"/><Relationship Id="rId387" Type="http://schemas.openxmlformats.org/officeDocument/2006/relationships/hyperlink" Target="http://www.uesc.br/editora/livrosdigitais2019/poemas-furta-cores.pdf" TargetMode="External"/><Relationship Id="rId8" Type="http://schemas.openxmlformats.org/officeDocument/2006/relationships/hyperlink" Target="http://www.uesc.br/editora/livrosdigitais2/casinha.pdf" TargetMode="External"/><Relationship Id="rId144" Type="http://schemas.openxmlformats.org/officeDocument/2006/relationships/hyperlink" Target="http://www.eduff.uff.br/ebooks/Desenvolvendo-a-competencia-comunicativa.pdf" TargetMode="External"/><Relationship Id="rId386" Type="http://schemas.openxmlformats.org/officeDocument/2006/relationships/hyperlink" Target="https://livros.unb.br/index.php/portal/catalog/view/6/5/24-1" TargetMode="External"/><Relationship Id="rId381" Type="http://schemas.openxmlformats.org/officeDocument/2006/relationships/hyperlink" Target="http://www2.ufac.br/editora/livros/perspectivas-para-o-ensino-de-linguas.pdf" TargetMode="External"/><Relationship Id="rId380" Type="http://schemas.openxmlformats.org/officeDocument/2006/relationships/hyperlink" Target="http://ufrr.br/editora/index.php/editais?download=449" TargetMode="External"/><Relationship Id="rId139" Type="http://schemas.openxmlformats.org/officeDocument/2006/relationships/hyperlink" Target="http://www.uesc.br/editora/livrosdigitais2015/da_sombra_a_luz.pdf" TargetMode="External"/><Relationship Id="rId138" Type="http://schemas.openxmlformats.org/officeDocument/2006/relationships/hyperlink" Target="http://www.editora.puc-rio.br/media/Lethicia%20Ouro%20Oliveira%20novo.pdf" TargetMode="External"/><Relationship Id="rId137" Type="http://schemas.openxmlformats.org/officeDocument/2006/relationships/hyperlink" Target="http://www.uesc.br/editora/livrosdigitais2018/cyro_de_mattos.pdf" TargetMode="External"/><Relationship Id="rId379" Type="http://schemas.openxmlformats.org/officeDocument/2006/relationships/hyperlink" Target="http://www.editora.ufpb.br/sistema/press5/index.php/UFPB/catalog/book/489" TargetMode="External"/><Relationship Id="rId132" Type="http://schemas.openxmlformats.org/officeDocument/2006/relationships/hyperlink" Target="http://www.uesc.br/editora/livrosdigitais_20141023/cauidabemdemim.pdf" TargetMode="External"/><Relationship Id="rId374" Type="http://schemas.openxmlformats.org/officeDocument/2006/relationships/hyperlink" Target="http://dx.doi.org/10.18616/portugal" TargetMode="External"/><Relationship Id="rId131" Type="http://schemas.openxmlformats.org/officeDocument/2006/relationships/hyperlink" Target="http://www.eduff.uff.br/ebooks/Crueis-paisagens.pdf" TargetMode="External"/><Relationship Id="rId373" Type="http://schemas.openxmlformats.org/officeDocument/2006/relationships/hyperlink" Target="https://www2.unifap.br/editora/files/2014/12/Pelo-Sert%c3%a3o-o-Brasil.pdf" TargetMode="External"/><Relationship Id="rId130" Type="http://schemas.openxmlformats.org/officeDocument/2006/relationships/hyperlink" Target="http://eduepb.uepb.edu.br/download/cronicas/?wpdmdl=1161&amp;" TargetMode="External"/><Relationship Id="rId372" Type="http://schemas.openxmlformats.org/officeDocument/2006/relationships/hyperlink" Target="http://bit.ly/Pelas-aguas-mesticas-da-historia" TargetMode="External"/><Relationship Id="rId371" Type="http://schemas.openxmlformats.org/officeDocument/2006/relationships/hyperlink" Target="http://www.uesc.br/editora/livrosdigitais2016/pegadas_na_praia.pdf" TargetMode="External"/><Relationship Id="rId136" Type="http://schemas.openxmlformats.org/officeDocument/2006/relationships/hyperlink" Target="https://hdl.handle.net/1884/63930" TargetMode="External"/><Relationship Id="rId378" Type="http://schemas.openxmlformats.org/officeDocument/2006/relationships/hyperlink" Target="https://www.editora.ufop.br/index.php/editora/catalog/view/162/130/428-1" TargetMode="External"/><Relationship Id="rId135" Type="http://schemas.openxmlformats.org/officeDocument/2006/relationships/hyperlink" Target="http://www.casaruibarbosa.gov.br/arquivos/file/Cultura_Brasileira-3-PDF_v2.pdf" TargetMode="External"/><Relationship Id="rId377" Type="http://schemas.openxmlformats.org/officeDocument/2006/relationships/hyperlink" Target="http://www.edufu.ufu.br/sites/edufu.ufu.br/files/e-book_egeria_2017_0.pdf" TargetMode="External"/><Relationship Id="rId134" Type="http://schemas.openxmlformats.org/officeDocument/2006/relationships/hyperlink" Target="http://www.casaruibarbosa.gov.br/arquivos/file/Cultura_Brasileira-2-PDF_v2.pdf" TargetMode="External"/><Relationship Id="rId376" Type="http://schemas.openxmlformats.org/officeDocument/2006/relationships/hyperlink" Target="https://repositorio.ufsc.br/handle/123456789/187924" TargetMode="External"/><Relationship Id="rId133" Type="http://schemas.openxmlformats.org/officeDocument/2006/relationships/hyperlink" Target="http://www.casaruibarbosa.gov.br/arquivos/file/Cultura_Brasileira-1-PDF_V2.pdf" TargetMode="External"/><Relationship Id="rId375" Type="http://schemas.openxmlformats.org/officeDocument/2006/relationships/hyperlink" Target="http://repositorio.ufes.br/bitstream/10/1506/1/Pense%20melhor%20antes%20de%20pensar.pdf" TargetMode="External"/><Relationship Id="rId172" Type="http://schemas.openxmlformats.org/officeDocument/2006/relationships/hyperlink" Target="https://www2.unifap.br/editora/files/2020/08/ensino-de-linguas-e-educacao-indigena.pdf" TargetMode="External"/><Relationship Id="rId171" Type="http://schemas.openxmlformats.org/officeDocument/2006/relationships/hyperlink" Target="http://omp.ufgd.edu.br/omp/index.php/livrosabertos/catalog/view/93/100/376-1" TargetMode="External"/><Relationship Id="rId170" Type="http://schemas.openxmlformats.org/officeDocument/2006/relationships/hyperlink" Target="http://repositorio.ufes.br/handle/10/1629" TargetMode="External"/><Relationship Id="rId165" Type="http://schemas.openxmlformats.org/officeDocument/2006/relationships/hyperlink" Target="https://www2.unifap.br/editora/files/2014/12/Livro-ELA-finalizado.pdf" TargetMode="External"/><Relationship Id="rId164" Type="http://schemas.openxmlformats.org/officeDocument/2006/relationships/hyperlink" Target="https://repositorio.ufsc.br/handle/123456789/187724" TargetMode="External"/><Relationship Id="rId163" Type="http://schemas.openxmlformats.org/officeDocument/2006/relationships/hyperlink" Target="https://repositorio.ufsc.br/handle/123456789/187722" TargetMode="External"/><Relationship Id="rId162" Type="http://schemas.openxmlformats.org/officeDocument/2006/relationships/hyperlink" Target="https://www.fundaj.gov.br/images/stories/editora/livros/ecos_de_clarice_portal.pdf" TargetMode="External"/><Relationship Id="rId169" Type="http://schemas.openxmlformats.org/officeDocument/2006/relationships/hyperlink" Target="http://editora.metodista.br/livros-gratis/engrenagemdofuturofinal.pdf/at_download/file" TargetMode="External"/><Relationship Id="rId168" Type="http://schemas.openxmlformats.org/officeDocument/2006/relationships/hyperlink" Target="http://cdn.ueg.edu.br/source/editora_ueg/conteudo_compartilhado/11008/ebook_encontro_entre_historia_e_literatura.pdf" TargetMode="External"/><Relationship Id="rId167" Type="http://schemas.openxmlformats.org/officeDocument/2006/relationships/hyperlink" Target="https://www2.unifap.br/editora/files/2014/12/PEREIRA-2017.-Encontros-com-as-imagens-medievais.pdf" TargetMode="External"/><Relationship Id="rId166" Type="http://schemas.openxmlformats.org/officeDocument/2006/relationships/hyperlink" Target="http://repositorio.ufes.br/handle/10/1416" TargetMode="External"/><Relationship Id="rId161" Type="http://schemas.openxmlformats.org/officeDocument/2006/relationships/hyperlink" Target="http://repositorio.ufes.br/bitstream/10/789/1/livro%20edufes%20Drummond%2C%20do%20corpo%20ao%20corpus%20o%20amor%20natural%20toma%20parte%20no%20projeto%20po%C3%A9tico-pensante.pdf" TargetMode="External"/><Relationship Id="rId160" Type="http://schemas.openxmlformats.org/officeDocument/2006/relationships/hyperlink" Target="http://repositorio.ufes.br/bitstream/10/793/1/livro%20edufes%20Drummond%20a%20inven%C3%A7%C3%A3o%20de%20um%20poeta%20nacional%20pelo%20livro%20didatico.pdf" TargetMode="External"/><Relationship Id="rId159" Type="http://schemas.openxmlformats.org/officeDocument/2006/relationships/hyperlink" Target="http://eduepb.uepb.edu.br/download/dramaturgia-teatro-e-outros-dialogos-interculturais/?wpdmdl=180&amp;amp;masterkey=5af99a28e944a" TargetMode="External"/><Relationship Id="rId154" Type="http://schemas.openxmlformats.org/officeDocument/2006/relationships/hyperlink" Target="http://portal.unemat.br/media/files/Editora/Diversidades-Lingu%C3%ADsticasmar19.pdf" TargetMode="External"/><Relationship Id="rId396" Type="http://schemas.openxmlformats.org/officeDocument/2006/relationships/hyperlink" Target="http://www.editora.puc-rio.br/media/portugues%20uma%20lingua%20internacional%20novo.pdf" TargetMode="External"/><Relationship Id="rId153" Type="http://schemas.openxmlformats.org/officeDocument/2006/relationships/hyperlink" Target="https://www.editora.ufop.br/index.php/editora/catalog/view/129/104/340-1" TargetMode="External"/><Relationship Id="rId395" Type="http://schemas.openxmlformats.org/officeDocument/2006/relationships/hyperlink" Target="http://www.editora.puc-rio.br/media/portugues%20para%20estrangeiros%20final.pdf" TargetMode="External"/><Relationship Id="rId152" Type="http://schemas.openxmlformats.org/officeDocument/2006/relationships/hyperlink" Target="http://www.eduff.uff.br/ebooks/Discurso-e-publicidade.pdf" TargetMode="External"/><Relationship Id="rId394" Type="http://schemas.openxmlformats.org/officeDocument/2006/relationships/hyperlink" Target="http://cdn.ueg.edu.br/source/editora_ueg/conteudo_extensao/11118/ebook_portugues_em_contexto_italiano_2019.pdf" TargetMode="External"/><Relationship Id="rId151" Type="http://schemas.openxmlformats.org/officeDocument/2006/relationships/hyperlink" Target="http://www.unemat.br/reitoria/editora/downloads/eletronico/discurso_de_constituicao_da_fronteira_de_mato_grosso-prof.olga.pdf" TargetMode="External"/><Relationship Id="rId393" Type="http://schemas.openxmlformats.org/officeDocument/2006/relationships/hyperlink" Target="http://eduepb.uepb.edu.br/download/portugues-como-lingua-de-acolhimento/?wpdmdl=817&amp;" TargetMode="External"/><Relationship Id="rId158" Type="http://schemas.openxmlformats.org/officeDocument/2006/relationships/hyperlink" Target="http://www.uesc.br/editora/livrosdigitais2016/do_penhor_a_pena.pdf" TargetMode="External"/><Relationship Id="rId157" Type="http://schemas.openxmlformats.org/officeDocument/2006/relationships/hyperlink" Target="https://repositorio.ufsc.br/handle/123456789/187718" TargetMode="External"/><Relationship Id="rId399" Type="http://schemas.openxmlformats.org/officeDocument/2006/relationships/hyperlink" Target="http://repositorio.ufba.br/ri/handle/ri/28006" TargetMode="External"/><Relationship Id="rId156" Type="http://schemas.openxmlformats.org/officeDocument/2006/relationships/hyperlink" Target="http://cdn.ueg.edu.br/source/editora_ueg/conteudoN/4946/pdf_colecao_olhares/livro04_ewerton_de_freitas.pdf" TargetMode="External"/><Relationship Id="rId398" Type="http://schemas.openxmlformats.org/officeDocument/2006/relationships/hyperlink" Target="http://www.eduff.uff.br/ebooks/Poses-e-flagrantes.pdf" TargetMode="External"/><Relationship Id="rId155" Type="http://schemas.openxmlformats.org/officeDocument/2006/relationships/hyperlink" Target="http://www.editora.ufrj.br/DynamicItems/livrosabertos-1/Do-Barroco_compressed.pdf" TargetMode="External"/><Relationship Id="rId397" Type="http://schemas.openxmlformats.org/officeDocument/2006/relationships/hyperlink" Target="https://www2.unifap.br/editora/files/2014/12/ebook_pos_colonialismo_e_literatura_unifap.pdf" TargetMode="External"/><Relationship Id="rId40" Type="http://schemas.openxmlformats.org/officeDocument/2006/relationships/hyperlink" Target="https://www.eduerj.com/eng/?product=a-violencia-das-letras-amizade-e-inimizade-na-literatura-brasileira-1888-1940-ebook" TargetMode="External"/><Relationship Id="rId42" Type="http://schemas.openxmlformats.org/officeDocument/2006/relationships/hyperlink" Target="http://www.uesc.br/editora/livrosdigitais2017/agua_corrente.pdf" TargetMode="External"/><Relationship Id="rId41" Type="http://schemas.openxmlformats.org/officeDocument/2006/relationships/hyperlink" Target="http://www2.ufac.br/editora/livros/abelardo-e-o-curupira.pdf" TargetMode="External"/><Relationship Id="rId44" Type="http://schemas.openxmlformats.org/officeDocument/2006/relationships/hyperlink" Target="http://www.uesc.br/editora/livrosdigitais2015/alforrias.pdf" TargetMode="External"/><Relationship Id="rId43" Type="http://schemas.openxmlformats.org/officeDocument/2006/relationships/hyperlink" Target="http://editora.ifpb.edu.br/index.php/ifpb/catalog/book/112" TargetMode="External"/><Relationship Id="rId46" Type="http://schemas.openxmlformats.org/officeDocument/2006/relationships/hyperlink" Target="http://omp.ufgd.edu.br/omp/index.php/livrosabertos/catalog/view/32/36/107-1" TargetMode="External"/><Relationship Id="rId45" Type="http://schemas.openxmlformats.org/officeDocument/2006/relationships/hyperlink" Target="https://repositorio.ufsc.br/handle/123456789/187696" TargetMode="External"/><Relationship Id="rId48" Type="http://schemas.openxmlformats.org/officeDocument/2006/relationships/hyperlink" Target="http://repositorio.ufes.br/bitstream/10/804/1/livro%20edufes%20America%20Latina%20Literatura%20e%20Politica%20abordagens%20transdiciplinares.pdf" TargetMode="External"/><Relationship Id="rId47" Type="http://schemas.openxmlformats.org/officeDocument/2006/relationships/hyperlink" Target="https://www2.unifap.br/editora/files/2019/07/amapa.pdf" TargetMode="External"/><Relationship Id="rId49" Type="http://schemas.openxmlformats.org/officeDocument/2006/relationships/hyperlink" Target="https://www.editora.ufop.br/index.php/editora/catalog/view/29/18/63-1" TargetMode="External"/><Relationship Id="rId31" Type="http://schemas.openxmlformats.org/officeDocument/2006/relationships/hyperlink" Target="http://www.editora.ufrj.br/DynamicItems/livrosabertos-1/a_prova_de_redacao_e_o_acesso_a_UFRJ.pdf" TargetMode="External"/><Relationship Id="rId30" Type="http://schemas.openxmlformats.org/officeDocument/2006/relationships/hyperlink" Target="http://omp.ufgd.edu.br/omp/index.php/livrosabertos/catalog/view/243/120/398-1" TargetMode="External"/><Relationship Id="rId33" Type="http://schemas.openxmlformats.org/officeDocument/2006/relationships/hyperlink" Target="http://www.uesc.br/editora/livrosdigitais/a-rua-%20flores-outros-contos.pdf" TargetMode="External"/><Relationship Id="rId32" Type="http://schemas.openxmlformats.org/officeDocument/2006/relationships/hyperlink" Target="http://ufrr.br/editora/index.php/editais?download=429" TargetMode="External"/><Relationship Id="rId35" Type="http://schemas.openxmlformats.org/officeDocument/2006/relationships/hyperlink" Target="https://repositorio.ufsc.br/handle/123456789/187470" TargetMode="External"/><Relationship Id="rId34" Type="http://schemas.openxmlformats.org/officeDocument/2006/relationships/hyperlink" Target="http://repositorio.ufpel.edu.br:8080/bitstream/prefix/3810/6/asala_galeria_livro_final_ebook.pdf" TargetMode="External"/><Relationship Id="rId37" Type="http://schemas.openxmlformats.org/officeDocument/2006/relationships/hyperlink" Target="https://repositorio.ufsc.br/handle/123456789/187471" TargetMode="External"/><Relationship Id="rId36" Type="http://schemas.openxmlformats.org/officeDocument/2006/relationships/hyperlink" Target="http://ufrr.br/editora/index.php/editais?download=430" TargetMode="External"/><Relationship Id="rId39" Type="http://schemas.openxmlformats.org/officeDocument/2006/relationships/hyperlink" Target="http://www.uesc.br/editora/livrosdigitais2016/a_viagem_de_orixala.pdf" TargetMode="External"/><Relationship Id="rId38" Type="http://schemas.openxmlformats.org/officeDocument/2006/relationships/hyperlink" Target="http://www.uesc.br/editora/livrosdigitais2017/a_viagem.pdf" TargetMode="External"/><Relationship Id="rId20" Type="http://schemas.openxmlformats.org/officeDocument/2006/relationships/hyperlink" Target="http://www.unemat.br/reitoria/editora/downloads/eletronico/a_lingua_nossa_de_todo_dia.pdf" TargetMode="External"/><Relationship Id="rId22" Type="http://schemas.openxmlformats.org/officeDocument/2006/relationships/hyperlink" Target="http://www2.ufac.br/editora/livros/AMENINACARINHOLUA.pdf" TargetMode="External"/><Relationship Id="rId21" Type="http://schemas.openxmlformats.org/officeDocument/2006/relationships/hyperlink" Target="http://www.uesc.br/editora/livrosdigitais2017/a_menina_olhos_ouro.pdf" TargetMode="External"/><Relationship Id="rId24" Type="http://schemas.openxmlformats.org/officeDocument/2006/relationships/hyperlink" Target="http://www.uesc.br/editora/livrosdigitais2015/a_odisseia_ja.pdf" TargetMode="External"/><Relationship Id="rId23" Type="http://schemas.openxmlformats.org/officeDocument/2006/relationships/hyperlink" Target="https://www.eduerj.com/eng/?product=a-nova-ortografia-o-que-muda-com-o-acordo-ortografico-ebook" TargetMode="External"/><Relationship Id="rId26" Type="http://schemas.openxmlformats.org/officeDocument/2006/relationships/hyperlink" Target="http://www.uesc.br/editora/livrosdigitais2016/a_palavra_tempo_euclides_neto.pdf" TargetMode="External"/><Relationship Id="rId25" Type="http://schemas.openxmlformats.org/officeDocument/2006/relationships/hyperlink" Target="http://www.uesc.br/editora/livrosdigitais2019/a_orquidea_negra.pdf" TargetMode="External"/><Relationship Id="rId28" Type="http://schemas.openxmlformats.org/officeDocument/2006/relationships/hyperlink" Target="http://repositorio.ufes.br/bitstream/10/1505/1/A%20paz%20dos%20vagabundos.pdf" TargetMode="External"/><Relationship Id="rId27" Type="http://schemas.openxmlformats.org/officeDocument/2006/relationships/hyperlink" Target="http://www.eduff.uff.br/ebooks/A-passagem-dos-sinais.pdf" TargetMode="External"/><Relationship Id="rId29" Type="http://schemas.openxmlformats.org/officeDocument/2006/relationships/hyperlink" Target="http://www.editora.ufrj.br/DynamicItems/livrosabertos-1/PoesiaPopular_compressed.pdf" TargetMode="External"/><Relationship Id="rId11" Type="http://schemas.openxmlformats.org/officeDocument/2006/relationships/hyperlink" Target="http://repositorio.ufes.br/bitstream/10/6981/1/Versao%20digital_A%20fala%20do%20artista%20professor.pdf" TargetMode="External"/><Relationship Id="rId10" Type="http://schemas.openxmlformats.org/officeDocument/2006/relationships/hyperlink" Target="http://www.uesc.br/editora/livrosdigitais_20140513/a_etica_da_paixao_baisa.pdf" TargetMode="External"/><Relationship Id="rId13" Type="http://schemas.openxmlformats.org/officeDocument/2006/relationships/hyperlink" Target="http://www.casaruibarbosa.gov.br/arquivos/file/A%20fam%C3%ADlia%20Agulha%20OCR.pdf" TargetMode="External"/><Relationship Id="rId12" Type="http://schemas.openxmlformats.org/officeDocument/2006/relationships/hyperlink" Target="http://www.uesc.br/editora/livrosdigitais2019/a_fala_do_santo.pdf" TargetMode="External"/><Relationship Id="rId15" Type="http://schemas.openxmlformats.org/officeDocument/2006/relationships/hyperlink" Target="https://www2.unifap.br/editora/files/2018/12/A-Ilumiara-sob-o-Sol-do-Meio-Dia.pdf" TargetMode="External"/><Relationship Id="rId14" Type="http://schemas.openxmlformats.org/officeDocument/2006/relationships/hyperlink" Target="http://www.casaruibarbosa.gov.br/arquivos/file/A%20Historiografia%20Liter%C3%A1ria%20e%20as%20t%C3%A9cnicas%20de%20escrita_capa%20OCR.pdf" TargetMode="External"/><Relationship Id="rId17" Type="http://schemas.openxmlformats.org/officeDocument/2006/relationships/hyperlink" Target="http://repositorio.ufes.br/bitstream/10/854/1/Livro%20edufes%20A%20indiferen%C3%A7a%20e%20o%20sol%20Meursault%2C%20o%20her%C3%B3i%20absurdo%20em%20O%20Estrangeiro%20de%20Albert%20Camus.pdf" TargetMode="External"/><Relationship Id="rId16" Type="http://schemas.openxmlformats.org/officeDocument/2006/relationships/hyperlink" Target="http://omp.ufgd.edu.br/omp/index.php/livrosabertos/catalog/view/26/44/116-2" TargetMode="External"/><Relationship Id="rId19" Type="http://schemas.openxmlformats.org/officeDocument/2006/relationships/hyperlink" Target="https://www2.unifap.br/editora/files/2014/12/PEREIRA-Marcos-Paulo-Torres.-A-inven%c3%a7%c3%a3o-do-Brasil-o-pa%c3%ads-efabulado-no-Modernismo-nacional.pdf.pdf" TargetMode="External"/><Relationship Id="rId18" Type="http://schemas.openxmlformats.org/officeDocument/2006/relationships/hyperlink" Target="http://cdn.ueg.edu.br/source/editora_ueg/conteudoN/4946/pdf_colecao_olhares/livro05_guido_de_oliveira.pdf" TargetMode="External"/><Relationship Id="rId84" Type="http://schemas.openxmlformats.org/officeDocument/2006/relationships/hyperlink" Target="https://www.eduerj.com/eng/?product=autotraducao-breve-historico-razoes-consequencias-praticas" TargetMode="External"/><Relationship Id="rId83" Type="http://schemas.openxmlformats.org/officeDocument/2006/relationships/hyperlink" Target="https://www.editora.ufop.br/index.php/editora/catalog/view/120/95/327-1" TargetMode="External"/><Relationship Id="rId86" Type="http://schemas.openxmlformats.org/officeDocument/2006/relationships/hyperlink" Target="http://www.uesc.br/editora/livrosdigitais2015/berro_de_fogo.pdf" TargetMode="External"/><Relationship Id="rId85" Type="http://schemas.openxmlformats.org/officeDocument/2006/relationships/hyperlink" Target="http://omp.ufgd.edu.br/omp/index.php/livrosabertos/catalog/view/251/247/540-1" TargetMode="External"/><Relationship Id="rId88" Type="http://schemas.openxmlformats.org/officeDocument/2006/relationships/hyperlink" Target="http://repositorio.ufes.br/bitstream/10/1160/1/Livro%20%20edufes%20bravos%20companheiros%20e%20fantasmas%205%20estudos%20cr%C3%ADticos%20sobre%20o%20autor%20capixaba.pdf" TargetMode="External"/><Relationship Id="rId87" Type="http://schemas.openxmlformats.org/officeDocument/2006/relationships/hyperlink" Target="https://www.ufpi.br/arquivos_download/arquivos/EDUFPI/ebook_-_Bourdieu_e_a_literatura_-_Wander_Nunes20180809161626.pdf" TargetMode="External"/><Relationship Id="rId89" Type="http://schemas.openxmlformats.org/officeDocument/2006/relationships/hyperlink" Target="https://www.eduerj.com/eng/?product=caderno-de-cultura-do-estado-do-rio-de-janeiro" TargetMode="External"/><Relationship Id="rId80" Type="http://schemas.openxmlformats.org/officeDocument/2006/relationships/hyperlink" Target="http://www.editora.ufpb.br/sistema/press5/index.php/UFPB/catalog/book/460" TargetMode="External"/><Relationship Id="rId82" Type="http://schemas.openxmlformats.org/officeDocument/2006/relationships/hyperlink" Target="http://www.uesc.br/editora/livrosdigitais2016/auto_do_descobrimento.pdf" TargetMode="External"/><Relationship Id="rId81" Type="http://schemas.openxmlformats.org/officeDocument/2006/relationships/hyperlink" Target="http://omp.ufgd.edu.br/omp/index.php/livrosabertos/catalog/view/58/62/536-1" TargetMode="External"/><Relationship Id="rId73" Type="http://schemas.openxmlformats.org/officeDocument/2006/relationships/hyperlink" Target="https://www.dropbox.com/s/2zl9otbyu1ibmmi/lingua-falada-em-pernambuco.pdf?dl=0" TargetMode="External"/><Relationship Id="rId72" Type="http://schemas.openxmlformats.org/officeDocument/2006/relationships/hyperlink" Target="http://www.uesc.br/editora/livrosdigitais2017/as_viagens_carola_migrista.pdf" TargetMode="External"/><Relationship Id="rId75" Type="http://schemas.openxmlformats.org/officeDocument/2006/relationships/hyperlink" Target="http://www.uesc.br/editora/livrosdigitais2015/assassinos_de_aluguel.pdf" TargetMode="External"/><Relationship Id="rId74" Type="http://schemas.openxmlformats.org/officeDocument/2006/relationships/hyperlink" Target="https://www2.unifap.br/editora/files/2019/05/aspectos-gramaticais-de-linguas-indigenas-sul-americanas.pdf" TargetMode="External"/><Relationship Id="rId77" Type="http://schemas.openxmlformats.org/officeDocument/2006/relationships/hyperlink" Target="http://www.uesc.br/editora/livrosdigitais2017/ate_mais_verde.pdf" TargetMode="External"/><Relationship Id="rId76" Type="http://schemas.openxmlformats.org/officeDocument/2006/relationships/hyperlink" Target="https://www2.unifap.br/editora/files/2019/07/atacama.pdf" TargetMode="External"/><Relationship Id="rId79" Type="http://schemas.openxmlformats.org/officeDocument/2006/relationships/hyperlink" Target="http://www2.ufac.br/editora/livros/atlasetnolinguisticodoacre.pdf" TargetMode="External"/><Relationship Id="rId78" Type="http://schemas.openxmlformats.org/officeDocument/2006/relationships/hyperlink" Target="http://www.edufu.ufu.br/sites/edufu.ufu.br/files/e-book_atelies_2017_0.pdf" TargetMode="External"/><Relationship Id="rId71" Type="http://schemas.openxmlformats.org/officeDocument/2006/relationships/hyperlink" Target="http://www.uesc.br/editora/livrosdigitais/as_razoes_imaginario.pdf" TargetMode="External"/><Relationship Id="rId70" Type="http://schemas.openxmlformats.org/officeDocument/2006/relationships/hyperlink" Target="http://www.casaruibarbosa.gov.br/arquivos/file/As%20P%C3%A9rfidas%20Salom%C3%A9s%20-%20OCR.pdf" TargetMode="External"/><Relationship Id="rId62" Type="http://schemas.openxmlformats.org/officeDocument/2006/relationships/hyperlink" Target="https://www.ufpi.br/arquivos_download/arquivos/LIVRO_ARTE_CIDADE_E_MEMORIA_-_ADRIANA_320200610144324.pdf" TargetMode="External"/><Relationship Id="rId61" Type="http://schemas.openxmlformats.org/officeDocument/2006/relationships/hyperlink" Target="http://repositorio.ufpel.edu.br:8080/bitstream/prefix/3807/1/14_ARTE%20DECORATIVA%20FORROS%20DE%20ESTUQUES%20EM%20RELEVO_S%c3%89RIE%20P%c3%93S%20GRADUA%c3%87%c3%83O.pdf" TargetMode="External"/><Relationship Id="rId64" Type="http://schemas.openxmlformats.org/officeDocument/2006/relationships/hyperlink" Target="http://www.edufu.ufu.br/sites/edufu.ufu.br/files/e-book_artes_visuais_2017_1.pdf" TargetMode="External"/><Relationship Id="rId63" Type="http://schemas.openxmlformats.org/officeDocument/2006/relationships/hyperlink" Target="https://www2.unifap.br/editora/files/2014/12/Livro-Artes-escritos-sobre-ensino-e-aprendizagem-corrigido.pdf" TargetMode="External"/><Relationship Id="rId66" Type="http://schemas.openxmlformats.org/officeDocument/2006/relationships/hyperlink" Target="http://www.eduff.uff.br/ebooks/As-aventuras-de-Seba-v3.pdf" TargetMode="External"/><Relationship Id="rId65" Type="http://schemas.openxmlformats.org/officeDocument/2006/relationships/hyperlink" Target="https://www.ufpi.br/arquivos_download/arquivos/EDUFPI/LIVRO_ARTICULACOES_EBOOK.pdf" TargetMode="External"/><Relationship Id="rId68" Type="http://schemas.openxmlformats.org/officeDocument/2006/relationships/hyperlink" Target="http://bit.ly/As-formas-de-tratamento-em-portugues-e-espanhol" TargetMode="External"/><Relationship Id="rId67" Type="http://schemas.openxmlformats.org/officeDocument/2006/relationships/hyperlink" Target="http://www.eduff.uff.br/ebooks/As-aventuras-de-Seba-v2.pdf" TargetMode="External"/><Relationship Id="rId60" Type="http://schemas.openxmlformats.org/officeDocument/2006/relationships/hyperlink" Target="https://repositorio.ufsc.br/handle/123456789/187715" TargetMode="External"/><Relationship Id="rId69" Type="http://schemas.openxmlformats.org/officeDocument/2006/relationships/hyperlink" Target="http://editora.metodista.br/livros-gratis/aspaginasdeontem.pdf/at_download/file" TargetMode="External"/><Relationship Id="rId51" Type="http://schemas.openxmlformats.org/officeDocument/2006/relationships/hyperlink" Target="https://www2.unifap.br/editora/files/2020/08/animal.pdf" TargetMode="External"/><Relationship Id="rId50" Type="http://schemas.openxmlformats.org/officeDocument/2006/relationships/hyperlink" Target="http://www.editora.ufpb.br/sistema/press5/index.php/UFPB/catalog/book/316" TargetMode="External"/><Relationship Id="rId53" Type="http://schemas.openxmlformats.org/officeDocument/2006/relationships/hyperlink" Target="http://www.uesc.br/editora/livrosdigitais_20140513/antologia_conto_baiano.pdf" TargetMode="External"/><Relationship Id="rId52" Type="http://schemas.openxmlformats.org/officeDocument/2006/relationships/hyperlink" Target="https://www2.unifap.br/editora/files/2018/05/E-book-Anna-Cacheada.pdf" TargetMode="External"/><Relationship Id="rId55" Type="http://schemas.openxmlformats.org/officeDocument/2006/relationships/hyperlink" Target="https://www.eduerj.com/eng/?product=antonin-artaud-ebook" TargetMode="External"/><Relationship Id="rId54" Type="http://schemas.openxmlformats.org/officeDocument/2006/relationships/hyperlink" Target="http://ufrr.br/editora/index.php/editais?download=397:antologia-poetica" TargetMode="External"/><Relationship Id="rId57" Type="http://schemas.openxmlformats.org/officeDocument/2006/relationships/hyperlink" Target="http://www.editora.puc-rio.br/media/aquisicao%20miolo1.pdf" TargetMode="External"/><Relationship Id="rId56" Type="http://schemas.openxmlformats.org/officeDocument/2006/relationships/hyperlink" Target="https://repositorio.ufsc.br/handle/123456789/187607" TargetMode="External"/><Relationship Id="rId59" Type="http://schemas.openxmlformats.org/officeDocument/2006/relationships/hyperlink" Target="http://repositorio.ufes.br/bitstream/10/819/1/livro%20edufes%20Armaz%C3%A9m%20dos%20afetos%20cr%C3%B4nicas.pdf" TargetMode="External"/><Relationship Id="rId58" Type="http://schemas.openxmlformats.org/officeDocument/2006/relationships/hyperlink" Target="http://www.editora.puc-rio.br/media/Aquisi%C3%A7%C3%A3o%20e%20processamento%20de%20senten%C3%A7as%20passivas.pdf" TargetMode="External"/><Relationship Id="rId107" Type="http://schemas.openxmlformats.org/officeDocument/2006/relationships/hyperlink" Target="http://www.uesc.br/editora/livrosdigitais/ci100ja.pdf" TargetMode="External"/><Relationship Id="rId349" Type="http://schemas.openxmlformats.org/officeDocument/2006/relationships/hyperlink" Target="https://www.eduerj.com/eng/?product=o-rural-como-paisagem" TargetMode="External"/><Relationship Id="rId106" Type="http://schemas.openxmlformats.org/officeDocument/2006/relationships/hyperlink" Target="http://ufrr.br/editora/index.php/editais?download=450" TargetMode="External"/><Relationship Id="rId348" Type="http://schemas.openxmlformats.org/officeDocument/2006/relationships/hyperlink" Target="http://www.uesc.br/editora/livrosdigitais2017/o_rato_saliente.pdf" TargetMode="External"/><Relationship Id="rId105" Type="http://schemas.openxmlformats.org/officeDocument/2006/relationships/hyperlink" Target="http://repositorio.ufes.br/bitstream/10/1508/1/Colet%C3%A2nea%20de%20poemas.pdf" TargetMode="External"/><Relationship Id="rId347" Type="http://schemas.openxmlformats.org/officeDocument/2006/relationships/hyperlink" Target="https://bit.ly/O-passado-no-presente" TargetMode="External"/><Relationship Id="rId104" Type="http://schemas.openxmlformats.org/officeDocument/2006/relationships/hyperlink" Target="http://repositorio.ufes.br/bitstream/10/1509/1/Coletanea%20de%20contos%20%26%20cronicas.pdf" TargetMode="External"/><Relationship Id="rId346" Type="http://schemas.openxmlformats.org/officeDocument/2006/relationships/hyperlink" Target="http://www.editora.ufc.br/catalogo/32-literatura/603-o-misterio-de-frida-zeiden" TargetMode="External"/><Relationship Id="rId109" Type="http://schemas.openxmlformats.org/officeDocument/2006/relationships/hyperlink" Target="http://www.uesc.br/editora/livrosdigitais2016/com_mar_entre_dedos.pdf" TargetMode="External"/><Relationship Id="rId108" Type="http://schemas.openxmlformats.org/officeDocument/2006/relationships/hyperlink" Target="http://repositorio.ufes.br/bitstream/10/1504/1/Com%20dias%20cantados.pdf" TargetMode="External"/><Relationship Id="rId341" Type="http://schemas.openxmlformats.org/officeDocument/2006/relationships/hyperlink" Target="http://repositorio.ufes.br/bitstream/10/826/1/livro%20edufes%20O%20indiz%C3%ADvel%20em%20Clarice%20Lispector%20uma%20leitura%20em%20interface.pdf" TargetMode="External"/><Relationship Id="rId340" Type="http://schemas.openxmlformats.org/officeDocument/2006/relationships/hyperlink" Target="http://www.editora.ufpb.br/sistema/press5/index.php/UFPB/catalog/book/298" TargetMode="External"/><Relationship Id="rId103" Type="http://schemas.openxmlformats.org/officeDocument/2006/relationships/hyperlink" Target="http://ufrr.br/editora/index.php/editais?download=435" TargetMode="External"/><Relationship Id="rId345" Type="http://schemas.openxmlformats.org/officeDocument/2006/relationships/hyperlink" Target="http://eduepb.uepb.edu.br/download/o-melodrama-e-outras-drogas/?wpdmdl=918&amp;" TargetMode="External"/><Relationship Id="rId102" Type="http://schemas.openxmlformats.org/officeDocument/2006/relationships/hyperlink" Target="https://repositorio.ufba.br/ri/handle/ri/15916" TargetMode="External"/><Relationship Id="rId344" Type="http://schemas.openxmlformats.org/officeDocument/2006/relationships/hyperlink" Target="http://guaiaca.ufpel.edu.br:8080/bitstream/prefix/4701/1/O_lugar_do_abjeto.pdf" TargetMode="External"/><Relationship Id="rId101" Type="http://schemas.openxmlformats.org/officeDocument/2006/relationships/hyperlink" Target="http://www2.ufac.br/editora/livros/clarinha-e-o-boto.pdf" TargetMode="External"/><Relationship Id="rId343" Type="http://schemas.openxmlformats.org/officeDocument/2006/relationships/hyperlink" Target="http://www.uesc.br/editora/livrosdigitais2016/o_livro_arbitrio_das_evas.pdf" TargetMode="External"/><Relationship Id="rId100" Type="http://schemas.openxmlformats.org/officeDocument/2006/relationships/hyperlink" Target="http://eduepb.uepb.edu.br/download/cico-de-luzia/?wpdmdl=168&amp;amp;masterkey=5af9979064855" TargetMode="External"/><Relationship Id="rId342" Type="http://schemas.openxmlformats.org/officeDocument/2006/relationships/hyperlink" Target="http://www2.ufac.br/editora/livros/OLXICO_OCLIO.pdf" TargetMode="External"/><Relationship Id="rId338" Type="http://schemas.openxmlformats.org/officeDocument/2006/relationships/hyperlink" Target="https://repositorio.ufsc.br/handle/123456789/187666" TargetMode="External"/><Relationship Id="rId337" Type="http://schemas.openxmlformats.org/officeDocument/2006/relationships/hyperlink" Target="https://repositorio.ufsc.br/handle/123456789/187923" TargetMode="External"/><Relationship Id="rId336" Type="http://schemas.openxmlformats.org/officeDocument/2006/relationships/hyperlink" Target="http://repositorio.ufba.br/ri/handle/ri/18180" TargetMode="External"/><Relationship Id="rId335" Type="http://schemas.openxmlformats.org/officeDocument/2006/relationships/hyperlink" Target="http://eduepb.uepb.edu.br/download/o-ensino-de-literatura-hoje/?wpdmdl=204&amp;amp;masterkey=5af99d8a1db50" TargetMode="External"/><Relationship Id="rId339" Type="http://schemas.openxmlformats.org/officeDocument/2006/relationships/hyperlink" Target="http://repositorio.ufes.br/bitstream/10/6983/1/Vers%C3%A3o%20digital_O%20feminino%20em%20Bisa%20Bia%2C%20Bisa%20Bel%2C%20de%20Ana%20Maria%20Machado.pdf" TargetMode="External"/><Relationship Id="rId330" Type="http://schemas.openxmlformats.org/officeDocument/2006/relationships/hyperlink" Target="http://www.uesc.br/editora/livrosdigitais_20140513/o_conto_em_vinte_e_cinco_baianos.pdf" TargetMode="External"/><Relationship Id="rId334" Type="http://schemas.openxmlformats.org/officeDocument/2006/relationships/hyperlink" Target="https://repositorio.ufsc.br/handle/123456789/187467" TargetMode="External"/><Relationship Id="rId333" Type="http://schemas.openxmlformats.org/officeDocument/2006/relationships/hyperlink" Target="https://www.eduerj.com/eng/?product=o-crime-do-padre-amaro-ebook" TargetMode="External"/><Relationship Id="rId332" Type="http://schemas.openxmlformats.org/officeDocument/2006/relationships/hyperlink" Target="http://www.edufu.ufu.br/sites/edufu.ufu.br/files/e-book_com_senha_o_corpo_e_a_imagem_no_discurso_-_in_focus_12.pdf" TargetMode="External"/><Relationship Id="rId331" Type="http://schemas.openxmlformats.org/officeDocument/2006/relationships/hyperlink" Target="http://repositorio.ufes.br/handle/10/6796" TargetMode="External"/><Relationship Id="rId370" Type="http://schemas.openxmlformats.org/officeDocument/2006/relationships/hyperlink" Target="http://www.eduff.uff.br/ebooks/Pauliceia-scugliambada-pauliceia-desvairada.pdf" TargetMode="External"/><Relationship Id="rId129" Type="http://schemas.openxmlformats.org/officeDocument/2006/relationships/hyperlink" Target="http://www.eduff.uff.br/ebooks/Critica-literaria-e-estrategia-de-genero.pdf" TargetMode="External"/><Relationship Id="rId128" Type="http://schemas.openxmlformats.org/officeDocument/2006/relationships/hyperlink" Target="https://www.ufpi.br/arquivos_download/arquivos/LIVRO_PROFESSOR_WANDER_EBOOK_120200312143715.pdf" TargetMode="External"/><Relationship Id="rId127" Type="http://schemas.openxmlformats.org/officeDocument/2006/relationships/hyperlink" Target="http://www.unemat.br/reitoria/editora/downloads/eletronico/crise_de_imagem_hemilia_maia_e_book.pdf" TargetMode="External"/><Relationship Id="rId369" Type="http://schemas.openxmlformats.org/officeDocument/2006/relationships/hyperlink" Target="http://omp.ufgd.edu.br/omp/index.php/livrosabertos/catalog/view/164/181/462-1" TargetMode="External"/><Relationship Id="rId126" Type="http://schemas.openxmlformats.org/officeDocument/2006/relationships/hyperlink" Target="http://campomourao.unespar.edu.br/editora/obras-digitais/criacao-ensino-e-producao-de-conhecimento-em-artes-artes-visuais-cinema-danca-e-teatro" TargetMode="External"/><Relationship Id="rId368" Type="http://schemas.openxmlformats.org/officeDocument/2006/relationships/hyperlink" Target="http://ufrr.br/editora/index.php/editais/category/40-editais?download=394:dicionariowapichana-ebook" TargetMode="External"/><Relationship Id="rId121" Type="http://schemas.openxmlformats.org/officeDocument/2006/relationships/hyperlink" Target="http://repositorio.ufba.br/ri/handle/ri/18031" TargetMode="External"/><Relationship Id="rId363" Type="http://schemas.openxmlformats.org/officeDocument/2006/relationships/hyperlink" Target="https://www.fundaj.gov.br/images/stories/editora/livros/livro_os_patriotas.pdf" TargetMode="External"/><Relationship Id="rId120" Type="http://schemas.openxmlformats.org/officeDocument/2006/relationships/hyperlink" Target="https://repositorio.ufsc.br/handle/123456789/187698" TargetMode="External"/><Relationship Id="rId362" Type="http://schemas.openxmlformats.org/officeDocument/2006/relationships/hyperlink" Target="http://www.uesc.br/editora/livrosdigitais2016/os_olhos_da_lacraia.pdf" TargetMode="External"/><Relationship Id="rId361" Type="http://schemas.openxmlformats.org/officeDocument/2006/relationships/hyperlink" Target="https://repositorio.ufsc.br/handle/123456789/195873" TargetMode="External"/><Relationship Id="rId360" Type="http://schemas.openxmlformats.org/officeDocument/2006/relationships/hyperlink" Target="https://www.eduerj.com/eng/?product=os-caboclos" TargetMode="External"/><Relationship Id="rId125" Type="http://schemas.openxmlformats.org/officeDocument/2006/relationships/hyperlink" Target="http://repositorio.ufes.br/handle/10/6778" TargetMode="External"/><Relationship Id="rId367" Type="http://schemas.openxmlformats.org/officeDocument/2006/relationships/hyperlink" Target="http://ufrr.br/editora/index.php/editais?download=451" TargetMode="External"/><Relationship Id="rId124" Type="http://schemas.openxmlformats.org/officeDocument/2006/relationships/hyperlink" Target="https://www.eduerj.com/eng/?product=corpos-diversos-imagens-do-corpo-nas-artes-na-literatura-e-no-arquivo-ebook" TargetMode="External"/><Relationship Id="rId366" Type="http://schemas.openxmlformats.org/officeDocument/2006/relationships/hyperlink" Target="http://ufrr.br/editora/index.php/editais?download=452" TargetMode="External"/><Relationship Id="rId123" Type="http://schemas.openxmlformats.org/officeDocument/2006/relationships/hyperlink" Target="https://www.editora.ufop.br/index.php/editora/catalog/view/145/115/378-11" TargetMode="External"/><Relationship Id="rId365" Type="http://schemas.openxmlformats.org/officeDocument/2006/relationships/hyperlink" Target="http://www2.ufac.br/editora/livros/Palavrascomquemconversoparadesdobrarme.pdf" TargetMode="External"/><Relationship Id="rId122" Type="http://schemas.openxmlformats.org/officeDocument/2006/relationships/hyperlink" Target="https://www.editora.ufop.br/index.php/editora/catalog/book/22" TargetMode="External"/><Relationship Id="rId364" Type="http://schemas.openxmlformats.org/officeDocument/2006/relationships/hyperlink" Target="https://repositorio.ufsc.br/handle/123456789/187548" TargetMode="External"/><Relationship Id="rId95" Type="http://schemas.openxmlformats.org/officeDocument/2006/relationships/hyperlink" Target="https://www.fundaj.gov.br/images/stories/editora/livros/livro_casa_grande_severina.pdf" TargetMode="External"/><Relationship Id="rId94" Type="http://schemas.openxmlformats.org/officeDocument/2006/relationships/hyperlink" Target="http://www.edufu.ufu.br/sites/edufu.ufu.br/files/e-book_cartografias_do_teatro_2009_0.pdf" TargetMode="External"/><Relationship Id="rId97" Type="http://schemas.openxmlformats.org/officeDocument/2006/relationships/hyperlink" Target="http://repositorio.unesc.net/handle/1/4950" TargetMode="External"/><Relationship Id="rId96" Type="http://schemas.openxmlformats.org/officeDocument/2006/relationships/hyperlink" Target="https://livros.unb.br/index.php/portal/catalog/view/11/6/37-1" TargetMode="External"/><Relationship Id="rId99" Type="http://schemas.openxmlformats.org/officeDocument/2006/relationships/hyperlink" Target="http://eduepb.uepb.edu.br/download/cha-dos-esquecidos/?wpdmdl=1128&amp;" TargetMode="External"/><Relationship Id="rId98" Type="http://schemas.openxmlformats.org/officeDocument/2006/relationships/hyperlink" Target="https://drive.google.com/file/d/1LFnV1nXZ5hMataC2HCY_XKk6p3xYcJoi/view?usp=sharing" TargetMode="External"/><Relationship Id="rId91" Type="http://schemas.openxmlformats.org/officeDocument/2006/relationships/hyperlink" Target="http://www.uesc.br/editora/livrosdigitais2016/cancioneiro_do_cacau.pdf" TargetMode="External"/><Relationship Id="rId90" Type="http://schemas.openxmlformats.org/officeDocument/2006/relationships/hyperlink" Target="http://eduepb.uepb.edu.br/download/caipora-e-o-fim-do-mundo/?wpdmdl=1085&amp;" TargetMode="External"/><Relationship Id="rId93" Type="http://schemas.openxmlformats.org/officeDocument/2006/relationships/hyperlink" Target="http://www.editora.ufpb.br/sistema/press5/index.php/UFPB/catalog/book/310" TargetMode="External"/><Relationship Id="rId92" Type="http://schemas.openxmlformats.org/officeDocument/2006/relationships/hyperlink" Target="http://omp.ufgd.edu.br/omp/index.php/livrosabertos/catalog/view/60/64/217-1" TargetMode="External"/><Relationship Id="rId118" Type="http://schemas.openxmlformats.org/officeDocument/2006/relationships/hyperlink" Target="https://repositorio.ufop.br/bitstream/123456789/4539/6/LIVRO_ProjetoNovosTalentos.pdf" TargetMode="External"/><Relationship Id="rId117" Type="http://schemas.openxmlformats.org/officeDocument/2006/relationships/hyperlink" Target="http://repositorio.ufes.br/bitstream/10/861/6/livro%20edufes%20conversoes%20de%20Maruland.pdf" TargetMode="External"/><Relationship Id="rId359" Type="http://schemas.openxmlformats.org/officeDocument/2006/relationships/hyperlink" Target="http://omp.ufgd.edu.br/omp/index.php/livrosabertos/catalog/view/252/249/544-1" TargetMode="External"/><Relationship Id="rId116" Type="http://schemas.openxmlformats.org/officeDocument/2006/relationships/hyperlink" Target="http://repositorio.ufes.br/handle/10/859" TargetMode="External"/><Relationship Id="rId358" Type="http://schemas.openxmlformats.org/officeDocument/2006/relationships/hyperlink" Target="https://bit.ly/Oracoes-relativas-no-portugues-brasileiro" TargetMode="External"/><Relationship Id="rId115" Type="http://schemas.openxmlformats.org/officeDocument/2006/relationships/hyperlink" Target="http://hdl.handle.net/10183/213600" TargetMode="External"/><Relationship Id="rId357" Type="http://schemas.openxmlformats.org/officeDocument/2006/relationships/hyperlink" Target="http://campomourao.unespar.edu.br/editora/obras-digitais/olhares-audiovisualidades-contemporaneas-brasileiras" TargetMode="External"/><Relationship Id="rId119" Type="http://schemas.openxmlformats.org/officeDocument/2006/relationships/hyperlink" Target="https://www.editora.ufop.br/index.php/editora/catalog/book/23" TargetMode="External"/><Relationship Id="rId110" Type="http://schemas.openxmlformats.org/officeDocument/2006/relationships/hyperlink" Target="http://cdn.ueg.edu.br/source/editora_ueg/conteudoN/4946/pdf_colecao_olhares/livro07_marco_antonio_rosa.pdf" TargetMode="External"/><Relationship Id="rId352" Type="http://schemas.openxmlformats.org/officeDocument/2006/relationships/hyperlink" Target="http://www.uesc.br/editora/livrosdigitais_20140513/otriunfodesosigenescosta.pdf" TargetMode="External"/><Relationship Id="rId351" Type="http://schemas.openxmlformats.org/officeDocument/2006/relationships/hyperlink" Target="http://repositorio.ufes.br/handle/10/6788" TargetMode="External"/><Relationship Id="rId350" Type="http://schemas.openxmlformats.org/officeDocument/2006/relationships/hyperlink" Target="http://www.casaruibarbosa.gov.br/arquivos/file/O%20Sapateiro%20Silva%20-%20OCR.pdf" TargetMode="External"/><Relationship Id="rId114" Type="http://schemas.openxmlformats.org/officeDocument/2006/relationships/hyperlink" Target="http://www2.ufac.br/editora/livros/Contribuicoesaoensinodeliteratura.pdf" TargetMode="External"/><Relationship Id="rId356" Type="http://schemas.openxmlformats.org/officeDocument/2006/relationships/hyperlink" Target="http://repositorio.ufpel.edu.br:8080/bitstream/prefix/3786/1/Olhares%20da%20Favela%20-%20vers%c3%a3o%20digital.pdf" TargetMode="External"/><Relationship Id="rId113" Type="http://schemas.openxmlformats.org/officeDocument/2006/relationships/hyperlink" Target="http://www.uesc.br/editora/livrosdigitais2017/contos_a_contar.pdf" TargetMode="External"/><Relationship Id="rId355" Type="http://schemas.openxmlformats.org/officeDocument/2006/relationships/hyperlink" Target="http://portal.unemat.br/media/files/Editora/e-book%20-%20Olhar%20a%20Vida.pdf" TargetMode="External"/><Relationship Id="rId112" Type="http://schemas.openxmlformats.org/officeDocument/2006/relationships/hyperlink" Target="https://www.eduerj.com/eng/?product=conexoes-ensaios-de-historia-da-arte-ebook" TargetMode="External"/><Relationship Id="rId354" Type="http://schemas.openxmlformats.org/officeDocument/2006/relationships/hyperlink" Target="http://www.casaruibarbosa.gov.br/arquivos/file/Discursos%20de%20Rui%20Barbosa%20em%20Haia%20OCR.pdf" TargetMode="External"/><Relationship Id="rId111" Type="http://schemas.openxmlformats.org/officeDocument/2006/relationships/hyperlink" Target="http://www.unemat.br/reitoria/editora/downloads/eletronico/comunicacao_e_regionalidades.pdf" TargetMode="External"/><Relationship Id="rId353" Type="http://schemas.openxmlformats.org/officeDocument/2006/relationships/hyperlink" Target="http://repositorio.ufes.br/bitstream/10/786/6/Versao%20digital%20atualizada%20livro%20edufes%20o%20vervo%20sat%C3%ADrico.pdf.pdf" TargetMode="External"/><Relationship Id="rId305" Type="http://schemas.openxmlformats.org/officeDocument/2006/relationships/hyperlink" Target="http://repositorio.ufes.br/bitstream/10/1192/1/Livro%20edufes%20M%C3%BAsica%20e%20ensino%20de%20l%C3%ADnguas%20explorando%20a%20teoria%20das%20m%C3%BAltiplas%20intelig%C3%AAncias.pdf" TargetMode="External"/><Relationship Id="rId304" Type="http://schemas.openxmlformats.org/officeDocument/2006/relationships/hyperlink" Target="https://www2.unifap.br/editora/files/2019/05/musica.pdf" TargetMode="External"/><Relationship Id="rId303" Type="http://schemas.openxmlformats.org/officeDocument/2006/relationships/hyperlink" Target="http://eduepb.uepb.edu.br/download/multiplos-olhares-para-a-formac%cc%a7a%cc%83o-de-professores-de-linguas-estrangeiras/?wpdmdl=201&amp;amp;masterkey=5af99ce8b55bc" TargetMode="External"/><Relationship Id="rId302" Type="http://schemas.openxmlformats.org/officeDocument/2006/relationships/hyperlink" Target="http://eduepb.uepb.edu.br/download/multiplos-olhares-para-a-formac%cc%a7a%cc%83o-de-professores-2/?wpdmdl=198&amp;amp;masterkey=5af99cc2dc019" TargetMode="External"/><Relationship Id="rId309" Type="http://schemas.openxmlformats.org/officeDocument/2006/relationships/hyperlink" Target="https://www.eduerj.com/eng/?product=na-aurora-da-literatura-brasileira" TargetMode="External"/><Relationship Id="rId308" Type="http://schemas.openxmlformats.org/officeDocument/2006/relationships/hyperlink" Target="http://omp.ufgd.edu.br/omp/index.php/livrosabertos/catalog/view/256/252/557-3" TargetMode="External"/><Relationship Id="rId307" Type="http://schemas.openxmlformats.org/officeDocument/2006/relationships/hyperlink" Target="http://www.uesc.br/editora/livrosdigitais_20141023/musicanarua2ed.pdf" TargetMode="External"/><Relationship Id="rId306" Type="http://schemas.openxmlformats.org/officeDocument/2006/relationships/hyperlink" Target="http://www.uesc.br/editora/livrosdigitais2015/musicanarua1ed.pdf" TargetMode="External"/><Relationship Id="rId301" Type="http://schemas.openxmlformats.org/officeDocument/2006/relationships/hyperlink" Target="https://www.eduerj.com/eng/?product=multiplo-machado-i-coloquio-casa-dirce-2" TargetMode="External"/><Relationship Id="rId300" Type="http://schemas.openxmlformats.org/officeDocument/2006/relationships/hyperlink" Target="https://www2.unifap.br/editora/files/2019/12/mulheres-negras-1.pdf" TargetMode="External"/><Relationship Id="rId327" Type="http://schemas.openxmlformats.org/officeDocument/2006/relationships/hyperlink" Target="http://www2.ufac.br/editora/livros/canto-do-uirapuru.pdf" TargetMode="External"/><Relationship Id="rId326" Type="http://schemas.openxmlformats.org/officeDocument/2006/relationships/hyperlink" Target="http://www.editora.ufpb.br/sistema/press5/index.php/UFPB/catalog/book/100" TargetMode="External"/><Relationship Id="rId325" Type="http://schemas.openxmlformats.org/officeDocument/2006/relationships/hyperlink" Target="https://www.eduerj.com/eng/?product=o-alienista-2" TargetMode="External"/><Relationship Id="rId324" Type="http://schemas.openxmlformats.org/officeDocument/2006/relationships/hyperlink" Target="http://editora.ifpb.edu.br/index.php/ifpb/catalog/book/113" TargetMode="External"/><Relationship Id="rId329" Type="http://schemas.openxmlformats.org/officeDocument/2006/relationships/hyperlink" Target="http://eduepb.uepb.edu.br/download/o-conto-e-o-romance-contemporaneos-na-perspectiva-das-literaturas-pos-autonomas/?wpdmdl=202&amp;amp;masterkey=5af99d419dc90" TargetMode="External"/><Relationship Id="rId328" Type="http://schemas.openxmlformats.org/officeDocument/2006/relationships/hyperlink" Target="http://repositorio.ufba.br/ri/handle/ri/18030" TargetMode="External"/><Relationship Id="rId323" Type="http://schemas.openxmlformats.org/officeDocument/2006/relationships/hyperlink" Target="http://eduepb.uepb.edu.br/download/nuances-da-linguagem-em-uso/?wpdmdl=713&amp;amp;masterkey=5cfe3feb198c2" TargetMode="External"/><Relationship Id="rId322" Type="http://schemas.openxmlformats.org/officeDocument/2006/relationships/hyperlink" Target="http://www.uesc.br/editora/livrosdigitais_20170620/novos_dizeres.pdf" TargetMode="External"/><Relationship Id="rId321" Type="http://schemas.openxmlformats.org/officeDocument/2006/relationships/hyperlink" Target="http://eduepb.uepb.edu.br/download/nova-leitura-critica-de-jorge-amado/?wpdmdl=199&amp;amp;masterkey=5af99cfa6d5d7" TargetMode="External"/><Relationship Id="rId320" Type="http://schemas.openxmlformats.org/officeDocument/2006/relationships/hyperlink" Target="https://repositorio.ufsc.br/handle/123456789/187543" TargetMode="External"/><Relationship Id="rId316" Type="http://schemas.openxmlformats.org/officeDocument/2006/relationships/hyperlink" Target="http://www.uesc.br/editora/livrosdigitais2019/nelsonschaum-mereceumlivro.pdf" TargetMode="External"/><Relationship Id="rId315" Type="http://schemas.openxmlformats.org/officeDocument/2006/relationships/hyperlink" Target="http://www.editora.ufrj.br/DynamicItems/livrosabertos-1/NelsonRodrigues_compressed.pdf" TargetMode="External"/><Relationship Id="rId314" Type="http://schemas.openxmlformats.org/officeDocument/2006/relationships/hyperlink" Target="https://repositorio.ufsc.br/handle/123456789/187734" TargetMode="External"/><Relationship Id="rId313" Type="http://schemas.openxmlformats.org/officeDocument/2006/relationships/hyperlink" Target="http://repositorio.ufes.br/handle/10/1901" TargetMode="External"/><Relationship Id="rId319" Type="http://schemas.openxmlformats.org/officeDocument/2006/relationships/hyperlink" Target="https://www2.unifap.br/editora/files/2019/12/no-liv-dji-ixtwa-balibi-marworno.pdf" TargetMode="External"/><Relationship Id="rId318" Type="http://schemas.openxmlformats.org/officeDocument/2006/relationships/hyperlink" Target="https://www2.unifap.br/editora/files/2020/02/no-lang-no-mias.pdf" TargetMode="External"/><Relationship Id="rId317" Type="http://schemas.openxmlformats.org/officeDocument/2006/relationships/hyperlink" Target="http://www.uesc.br/editora/livrosdigitais/nelson-schaun-merece-um-livro.pdf" TargetMode="External"/><Relationship Id="rId312" Type="http://schemas.openxmlformats.org/officeDocument/2006/relationships/hyperlink" Target="https://www2.unifap.br/editora/files/2019/12/nate-konetma-dji-thavai.pdf" TargetMode="External"/><Relationship Id="rId311" Type="http://schemas.openxmlformats.org/officeDocument/2006/relationships/hyperlink" Target="https://www.editora.ufop.br/index.php/editora/catalog/view/160/129/426-1" TargetMode="External"/><Relationship Id="rId310" Type="http://schemas.openxmlformats.org/officeDocument/2006/relationships/hyperlink" Target="http://editora.metodista.br/livros-gratis/naosecalamasborboletas.pdf/at_download/file" TargetMode="External"/><Relationship Id="rId297" Type="http://schemas.openxmlformats.org/officeDocument/2006/relationships/hyperlink" Target="http://repositorio.ufes.br/bitstream/10/800/1/livro%20edufes%20movimentos%20de%20demoli%C3%A7%C3%A3o%20deslocamentos%20identidades%20e%20literatura.pdf" TargetMode="External"/><Relationship Id="rId296" Type="http://schemas.openxmlformats.org/officeDocument/2006/relationships/hyperlink" Target="http://www.casaruibarbosa.gov.br/arquivos/file/Modos_e_Modas_FINAL.pdf" TargetMode="External"/><Relationship Id="rId295" Type="http://schemas.openxmlformats.org/officeDocument/2006/relationships/hyperlink" Target="http://www.casaruibarbosa.gov.br/arquivos/file/Mocidade%20morta%20OCR.pdf" TargetMode="External"/><Relationship Id="rId294" Type="http://schemas.openxmlformats.org/officeDocument/2006/relationships/hyperlink" Target="http://www.uesc.br/editora/livrosdigitais2018/minelvino.pdf" TargetMode="External"/><Relationship Id="rId299" Type="http://schemas.openxmlformats.org/officeDocument/2006/relationships/hyperlink" Target="https://www2.unifap.br/editora/files/2014/12/Ebook_Mulheres-e_a_Literatura_Brasileira.pdf" TargetMode="External"/><Relationship Id="rId298" Type="http://schemas.openxmlformats.org/officeDocument/2006/relationships/hyperlink" Target="http://www.eduff.uff.br/index.php/catalogo/livros/907-mulheres-de-papel" TargetMode="External"/><Relationship Id="rId271" Type="http://schemas.openxmlformats.org/officeDocument/2006/relationships/hyperlink" Target="https://www.eduerj.com/eng/?product=literatura-arte-e-mercado" TargetMode="External"/><Relationship Id="rId270" Type="http://schemas.openxmlformats.org/officeDocument/2006/relationships/hyperlink" Target="http://omp.ufgd.edu.br/omp/index.php/livrosabertos/catalog/view/134/209/490-1" TargetMode="External"/><Relationship Id="rId269" Type="http://schemas.openxmlformats.org/officeDocument/2006/relationships/hyperlink" Target="http://omp.ufgd.edu.br/omp/index.php/livrosabertos/catalog/view/137/206/487-1" TargetMode="External"/><Relationship Id="rId264" Type="http://schemas.openxmlformats.org/officeDocument/2006/relationships/hyperlink" Target="https://www.eduerj.com/eng/?product=literatura-e-civilizacao-em-portugal" TargetMode="External"/><Relationship Id="rId263" Type="http://schemas.openxmlformats.org/officeDocument/2006/relationships/hyperlink" Target="https://www.editora.ufop.br/index.php/editora/catalog/view/113/123/403-1" TargetMode="External"/><Relationship Id="rId262" Type="http://schemas.openxmlformats.org/officeDocument/2006/relationships/hyperlink" Target="http://www.editora.puc-rio.br/media/ebook_literatura_artes_.pdf" TargetMode="External"/><Relationship Id="rId261" Type="http://schemas.openxmlformats.org/officeDocument/2006/relationships/hyperlink" Target="http://www.uesc.br/editora/livrosdigitais2016/literatura_do_cacau.pdf" TargetMode="External"/><Relationship Id="rId268" Type="http://schemas.openxmlformats.org/officeDocument/2006/relationships/hyperlink" Target="https://repositorio.ufsc.br/handle/123456789/194841" TargetMode="External"/><Relationship Id="rId267" Type="http://schemas.openxmlformats.org/officeDocument/2006/relationships/hyperlink" Target="http://omp.ufgd.edu.br/omp/index.php/livrosabertos/catalog/view/136/207/488-1" TargetMode="External"/><Relationship Id="rId266" Type="http://schemas.openxmlformats.org/officeDocument/2006/relationships/hyperlink" Target="http://ufrr.br/editora/index.php/editais?download=431" TargetMode="External"/><Relationship Id="rId265" Type="http://schemas.openxmlformats.org/officeDocument/2006/relationships/hyperlink" Target="http://omp.ufgd.edu.br/omp/index.php/livrosabertos/catalog/view/135/208/489-3" TargetMode="External"/><Relationship Id="rId260" Type="http://schemas.openxmlformats.org/officeDocument/2006/relationships/hyperlink" Target="http://eduepb.uepb.edu.br/download/literatura-de-multidao-e-intermidialidade/?wpdmdl=193&amp;amp;masterkey=5af99c20c3d2b" TargetMode="External"/><Relationship Id="rId259" Type="http://schemas.openxmlformats.org/officeDocument/2006/relationships/hyperlink" Target="https://www2.unifap.br/editora/files/2019/07/literatura-das-pedras.pdf" TargetMode="External"/><Relationship Id="rId258" Type="http://schemas.openxmlformats.org/officeDocument/2006/relationships/hyperlink" Target="https://www.eduerj.com/eng/?product=literatura-como-objeto-de-desejo-ebook" TargetMode="External"/><Relationship Id="rId253" Type="http://schemas.openxmlformats.org/officeDocument/2006/relationships/hyperlink" Target="http://cdn.ueg.edu.br/source/editora_ueg/conteudo_compartilhado/11011/ebook_poesias_lira_lirica_2019.pdf" TargetMode="External"/><Relationship Id="rId252" Type="http://schemas.openxmlformats.org/officeDocument/2006/relationships/hyperlink" Target="http://repositorio.ufes.br/bitstream/10/796/1/livro%20edufes%20lira%20a%20brasileira%20erotica%20poetica%20politica.pdf" TargetMode="External"/><Relationship Id="rId251" Type="http://schemas.openxmlformats.org/officeDocument/2006/relationships/hyperlink" Target="http://www.editora.ufpb.br/sistema/press5/index.php/UFPB/catalog/book/307" TargetMode="External"/><Relationship Id="rId250" Type="http://schemas.openxmlformats.org/officeDocument/2006/relationships/hyperlink" Target="http://repositorio.ufes.br/bitstream/10/6980/1/Livro%20Digital_Lingu%C3%ADstica%20Aplicada.pdf" TargetMode="External"/><Relationship Id="rId257" Type="http://schemas.openxmlformats.org/officeDocument/2006/relationships/hyperlink" Target="http://www.unemat.br/reitoria/editora/downloads/eletronico/ebook_literatura_cabo_verdiana.pdf" TargetMode="External"/><Relationship Id="rId256" Type="http://schemas.openxmlformats.org/officeDocument/2006/relationships/hyperlink" Target="http://books.scielo.org/id/rtwp3/pdf/werkema-9788575114872.pdf" TargetMode="External"/><Relationship Id="rId255" Type="http://schemas.openxmlformats.org/officeDocument/2006/relationships/hyperlink" Target="http://campomourao.unespar.edu.br/editora/obras-digitais/literatura-suicidio" TargetMode="External"/><Relationship Id="rId254" Type="http://schemas.openxmlformats.org/officeDocument/2006/relationships/hyperlink" Target="http://www.eduff.uff.br/ebooks/Literalmente-falando.pdf" TargetMode="External"/><Relationship Id="rId293" Type="http://schemas.openxmlformats.org/officeDocument/2006/relationships/hyperlink" Target="https://drive.google.com/file/d/19sO6jEU0T_e6dFDGjLnwe0oeanscy28u/view?usp=sharing" TargetMode="External"/><Relationship Id="rId292" Type="http://schemas.openxmlformats.org/officeDocument/2006/relationships/hyperlink" Target="http://omp.ufgd.edu.br/omp/index.php/livrosabertos/catalog/view/144/199/480-1" TargetMode="External"/><Relationship Id="rId291" Type="http://schemas.openxmlformats.org/officeDocument/2006/relationships/hyperlink" Target="http://guaiaca.ufpel.edu.br/bitstream/prefix/4294/1/Volume%209_%20isabel%20final.pdf" TargetMode="External"/><Relationship Id="rId290" Type="http://schemas.openxmlformats.org/officeDocument/2006/relationships/hyperlink" Target="http://repositorio.ufes.br/handle/10/6789" TargetMode="External"/><Relationship Id="rId286" Type="http://schemas.openxmlformats.org/officeDocument/2006/relationships/hyperlink" Target="http://omp.ufgd.edu.br/omp/index.php/livrosabertos/catalog/view/225/116/394-1" TargetMode="External"/><Relationship Id="rId285" Type="http://schemas.openxmlformats.org/officeDocument/2006/relationships/hyperlink" Target="https://www2.unifap.br/editora/files/2018/12/Matem%c3%a1tica-dos-palmos-injustos.pdf" TargetMode="External"/><Relationship Id="rId284" Type="http://schemas.openxmlformats.org/officeDocument/2006/relationships/hyperlink" Target="http://www.uesc.br/editora/livrosdigitais2017/maricota_formigas.pdf" TargetMode="External"/><Relationship Id="rId283" Type="http://schemas.openxmlformats.org/officeDocument/2006/relationships/hyperlink" Target="http://repositorio.ufes.br/bitstream/10/792/1/livro%20edufes%20marcial%20e%20o%20livro.pdf" TargetMode="External"/><Relationship Id="rId289" Type="http://schemas.openxmlformats.org/officeDocument/2006/relationships/hyperlink" Target="http://www.uesc.br/editora/livrosdigitais2017/memorias_fosseis.pdf" TargetMode="External"/><Relationship Id="rId288" Type="http://schemas.openxmlformats.org/officeDocument/2006/relationships/hyperlink" Target="http://eduepb.uepb.edu.br/download/memorias-de-um-vaqueiro/?wpdmdl=1088&amp;" TargetMode="External"/><Relationship Id="rId287" Type="http://schemas.openxmlformats.org/officeDocument/2006/relationships/hyperlink" Target="https://www.editoraargos.com.br/farol/editoraargos/ebook/memorial-visual-e-textual-das-exposicoes-da-galeria-de-artes-agostinho-duarte-exposicoes-de-2011-a-2017/1154936/" TargetMode="External"/><Relationship Id="rId282" Type="http://schemas.openxmlformats.org/officeDocument/2006/relationships/hyperlink" Target="http://repositorio.ufes.br/handle/10/6773" TargetMode="External"/><Relationship Id="rId281" Type="http://schemas.openxmlformats.org/officeDocument/2006/relationships/hyperlink" Target="http://www2.ufac.br/editora/livros/mapinguari.pdf" TargetMode="External"/><Relationship Id="rId280" Type="http://schemas.openxmlformats.org/officeDocument/2006/relationships/hyperlink" Target="http://www.uesc.br/editora/livrosdigitais2019/manoel_lins_o_canto_da_eterna_esperanca.pdf" TargetMode="External"/><Relationship Id="rId275" Type="http://schemas.openxmlformats.org/officeDocument/2006/relationships/hyperlink" Target="http://eduepb.uepb.edu.br/download/lourdes-ramalho-em-cena-modernidade-teatral-dramaturgia-e-regionalidade/?wpdmdl=909&amp;" TargetMode="External"/><Relationship Id="rId274" Type="http://schemas.openxmlformats.org/officeDocument/2006/relationships/hyperlink" Target="http://www.uems.br/assets/uploads/editora/arquivos/2_2018-01-18_12-00-16.pdf" TargetMode="External"/><Relationship Id="rId273" Type="http://schemas.openxmlformats.org/officeDocument/2006/relationships/hyperlink" Target="http://books.scielo.org/id/5gg44/pdf/silva-9788575114971.pdf" TargetMode="External"/><Relationship Id="rId272" Type="http://schemas.openxmlformats.org/officeDocument/2006/relationships/hyperlink" Target="http://www.uesc.br/editora/livrosdigitais2016/literatura_homoerotismo_expressoes_homoculturais.pdf" TargetMode="External"/><Relationship Id="rId279" Type="http://schemas.openxmlformats.org/officeDocument/2006/relationships/hyperlink" Target="http://omp.ufgd.edu.br/omp/index.php/livrosabertos/catalog/view/140/203/484-1" TargetMode="External"/><Relationship Id="rId278" Type="http://schemas.openxmlformats.org/officeDocument/2006/relationships/hyperlink" Target="https://www.eduerj.com/eng/?product=machado-para-jovens-leitores-ebook" TargetMode="External"/><Relationship Id="rId277" Type="http://schemas.openxmlformats.org/officeDocument/2006/relationships/hyperlink" Target="https://www.eduerj.com/eng/?product=machado-de-assis-e-o-canone-ocidental-itinerarios-de-leitura-ebook" TargetMode="External"/><Relationship Id="rId276" Type="http://schemas.openxmlformats.org/officeDocument/2006/relationships/hyperlink" Target="http://books.scielo.org/id/4krgb/pdf/salomao-9786599036484.pdf" TargetMode="External"/><Relationship Id="rId409" Type="http://schemas.openxmlformats.org/officeDocument/2006/relationships/hyperlink" Target="http://repositorio.ufes.br/bitstream/10/862/1/Livro%20Prosa%20sobre%20prosa%20%3A%20Machado%20de%20Assis%2C%20Guimar%C3%A3es%20Rosa%2C%20Reinaldo%20Santos%20Neves%20e%20outras%20fic%C3%A7%C3%B5es%20Edufes.pdf" TargetMode="External"/><Relationship Id="rId404" Type="http://schemas.openxmlformats.org/officeDocument/2006/relationships/hyperlink" Target="https://www.ufpi.br/arquivos_download/arquivos/EDUFPI/LIVRO_VILANI_E-BOOK_EDUFPI_120181030152119.pdf" TargetMode="External"/><Relationship Id="rId403" Type="http://schemas.openxmlformats.org/officeDocument/2006/relationships/hyperlink" Target="http://bit.ly/Premio-UFF-de-Literatura-2012" TargetMode="External"/><Relationship Id="rId402" Type="http://schemas.openxmlformats.org/officeDocument/2006/relationships/hyperlink" Target="http://www.eduff.uff.br/ebooks/Premio-UFF-de-Literatura-2007.pdf" TargetMode="External"/><Relationship Id="rId401" Type="http://schemas.openxmlformats.org/officeDocument/2006/relationships/hyperlink" Target="http://www.eduff.uff.br/ebooks/Premio-UFF-de-Literatura-2008.pdf" TargetMode="External"/><Relationship Id="rId408" Type="http://schemas.openxmlformats.org/officeDocument/2006/relationships/hyperlink" Target="http://www.unemat.br/reitoria/editora/downloads/eletronico/propagandas_e_campanhas_publicitarias_em_cartazes_saboia_e_book.pdf" TargetMode="External"/><Relationship Id="rId407" Type="http://schemas.openxmlformats.org/officeDocument/2006/relationships/hyperlink" Target="http://www.editora.ufpb.br/sistema/press5/index.php/UFPB/catalog/book/105" TargetMode="External"/><Relationship Id="rId406" Type="http://schemas.openxmlformats.org/officeDocument/2006/relationships/hyperlink" Target="http://www.uesc.br/editora/livrosdigitais2015/o_sumico_fantasia.pdf" TargetMode="External"/><Relationship Id="rId405" Type="http://schemas.openxmlformats.org/officeDocument/2006/relationships/hyperlink" Target="http://www.uesc.br/editora/livrosdigitais2016/profecias_morenas.pdf" TargetMode="External"/><Relationship Id="rId400" Type="http://schemas.openxmlformats.org/officeDocument/2006/relationships/hyperlink" Target="http://www.eduff.uff.br/ebooks/Premio-UFF-de-Literatura-2011.pdf" TargetMode="External"/><Relationship Id="rId228" Type="http://schemas.openxmlformats.org/officeDocument/2006/relationships/hyperlink" Target="http://omp.ufgd.edu.br/omp/index.php/livrosabertos/catalog/view/126/217/498-1" TargetMode="External"/><Relationship Id="rId227" Type="http://schemas.openxmlformats.org/officeDocument/2006/relationships/hyperlink" Target="http://www.editora.ufpb.br/sistema/press5/index.php/UFPB/catalog/book/109" TargetMode="External"/><Relationship Id="rId469" Type="http://schemas.openxmlformats.org/officeDocument/2006/relationships/hyperlink" Target="http://www2.ufac.br/editora/livros/vamor-falar-o-acreanes.pdf" TargetMode="External"/><Relationship Id="rId226" Type="http://schemas.openxmlformats.org/officeDocument/2006/relationships/hyperlink" Target="http://bit.ly/Interacao-contexto-e-identidade" TargetMode="External"/><Relationship Id="rId468" Type="http://schemas.openxmlformats.org/officeDocument/2006/relationships/hyperlink" Target="http://www.editora.ufpb.br/sistema/press5/index.php/UFPB/catalog/book/306" TargetMode="External"/><Relationship Id="rId225" Type="http://schemas.openxmlformats.org/officeDocument/2006/relationships/hyperlink" Target="https://repositorio.ufba.br/ri/handle/ri/6940" TargetMode="External"/><Relationship Id="rId467" Type="http://schemas.openxmlformats.org/officeDocument/2006/relationships/hyperlink" Target="http://www.editora.ufpb.br/sistema/press5/index.php/UFPB/catalog/book/311" TargetMode="External"/><Relationship Id="rId229" Type="http://schemas.openxmlformats.org/officeDocument/2006/relationships/hyperlink" Target="http://www.uesc.br/editora/livrosdigitais2015/inter_editusdigital.pdf" TargetMode="External"/><Relationship Id="rId220" Type="http://schemas.openxmlformats.org/officeDocument/2006/relationships/hyperlink" Target="http://omp.ufgd.edu.br/omp/index.php/livrosabertos/catalog/view/259/255/564-1" TargetMode="External"/><Relationship Id="rId462" Type="http://schemas.openxmlformats.org/officeDocument/2006/relationships/hyperlink" Target="https://www.eduerj.com/eng/?product=uma-literatura-inquieta-memoria-ficcao-mercado-etica" TargetMode="External"/><Relationship Id="rId461" Type="http://schemas.openxmlformats.org/officeDocument/2006/relationships/hyperlink" Target="https://www.eduerj.com/eng/?product=um-toque-de-voyeurismo-o-diario-intimo-de-couto-de-magalhaes-1880-1887" TargetMode="External"/><Relationship Id="rId460" Type="http://schemas.openxmlformats.org/officeDocument/2006/relationships/hyperlink" Target="http://www.uesc.br/editora/livrosdigitais2019/um_quintal_e_outros_cantos.pdf" TargetMode="External"/><Relationship Id="rId224" Type="http://schemas.openxmlformats.org/officeDocument/2006/relationships/hyperlink" Target="http://www2.ufac.br/editora/livros/imaginario-na-amazonia.pdf" TargetMode="External"/><Relationship Id="rId466" Type="http://schemas.openxmlformats.org/officeDocument/2006/relationships/hyperlink" Target="https://www2.unifap.br/editora/files/2020/08/uruguai.pdf" TargetMode="External"/><Relationship Id="rId223" Type="http://schemas.openxmlformats.org/officeDocument/2006/relationships/hyperlink" Target="http://omp.ufgd.edu.br/omp/index.php/livrosabertos/catalog/view/122/221/502-1" TargetMode="External"/><Relationship Id="rId465" Type="http://schemas.openxmlformats.org/officeDocument/2006/relationships/hyperlink" Target="http://repositorio.unesc.net/handle/1/6481" TargetMode="External"/><Relationship Id="rId222" Type="http://schemas.openxmlformats.org/officeDocument/2006/relationships/hyperlink" Target="http://hdl.handle.net/10183/213173" TargetMode="External"/><Relationship Id="rId464" Type="http://schemas.openxmlformats.org/officeDocument/2006/relationships/hyperlink" Target="http://editora.metodista.br/livros-gratis/umaxicaradecronicas.pdf/at_download/file" TargetMode="External"/><Relationship Id="rId221" Type="http://schemas.openxmlformats.org/officeDocument/2006/relationships/hyperlink" Target="http://repositorio.unesc.net/handle/1/6994" TargetMode="External"/><Relationship Id="rId463" Type="http://schemas.openxmlformats.org/officeDocument/2006/relationships/hyperlink" Target="http://omp.ufgd.edu.br/omp/index.php/livrosabertos/catalog/view/18/16/55-1" TargetMode="External"/><Relationship Id="rId217" Type="http://schemas.openxmlformats.org/officeDocument/2006/relationships/hyperlink" Target="https://www.eduerj.com/eng/?product=historia-da-arte-ensaios-contemporaneos-ebook" TargetMode="External"/><Relationship Id="rId459" Type="http://schemas.openxmlformats.org/officeDocument/2006/relationships/hyperlink" Target="http://repositorio.ufes.br/bitstream/10/791/1/livro%20edufes%20um%20enlace%20de%20tr%C3%AAs%20Augusto%20de%20Campos%20Ana%20Cristina%20Cesar%20e%20arnaldo%20antunes%20a%20luz%20da%20visualidade.pdf" TargetMode="External"/><Relationship Id="rId216" Type="http://schemas.openxmlformats.org/officeDocument/2006/relationships/hyperlink" Target="http://eduepb.uepb.edu.br/download/hermilo-borba-filho-memoria-de-resistencia-e-resistencia-da-memoria/?wpdmdl=187&amp;amp;masterkey=5af99b5cd9e19" TargetMode="External"/><Relationship Id="rId458" Type="http://schemas.openxmlformats.org/officeDocument/2006/relationships/hyperlink" Target="https://repositorio.ufsc.br/handle/123456789/187930" TargetMode="External"/><Relationship Id="rId215" Type="http://schemas.openxmlformats.org/officeDocument/2006/relationships/hyperlink" Target="http://ufrr.br/editora/index.php/editais?download=418" TargetMode="External"/><Relationship Id="rId457" Type="http://schemas.openxmlformats.org/officeDocument/2006/relationships/hyperlink" Target="http://omp.ufgd.edu.br/omp/index.php/livrosabertos/catalog/view/206/248/541-1" TargetMode="External"/><Relationship Id="rId214" Type="http://schemas.openxmlformats.org/officeDocument/2006/relationships/hyperlink" Target="http://omp.ufgd.edu.br/omp/index.php/livrosabertos/catalog/view/113/58/205-1" TargetMode="External"/><Relationship Id="rId456" Type="http://schemas.openxmlformats.org/officeDocument/2006/relationships/hyperlink" Target="http://portal.unemat.br/media/files/Editora/PALAVRAS%20EM%20TR%C3%82NSITO.pdf" TargetMode="External"/><Relationship Id="rId219" Type="http://schemas.openxmlformats.org/officeDocument/2006/relationships/hyperlink" Target="http://www.uesc.br/editora/livrosdigitais2015/historias_adonias_filho.pdf" TargetMode="External"/><Relationship Id="rId218" Type="http://schemas.openxmlformats.org/officeDocument/2006/relationships/hyperlink" Target="http://www.uesc.br/editora/livrosdigitais2017/historias_dos_mares_da_bahia.pdf" TargetMode="External"/><Relationship Id="rId451" Type="http://schemas.openxmlformats.org/officeDocument/2006/relationships/hyperlink" Target="http://repositorio.ufes.br/bitstream/10/1136/1/livro%20Edufes%20tra%C3%A7os%20de%20um%20outro%20mapa%20%20literatura%20contempor%C3%A2nea%20nas%20Am%C3%A9ricas.pdf" TargetMode="External"/><Relationship Id="rId450" Type="http://schemas.openxmlformats.org/officeDocument/2006/relationships/hyperlink" Target="http://www.uesc.br/editora/livrosdigitais2017/tonico_descobre_que_e_de_todo_lugar.pdf" TargetMode="External"/><Relationship Id="rId213" Type="http://schemas.openxmlformats.org/officeDocument/2006/relationships/hyperlink" Target="http://www.casaruibarbosa.gov.br/arquivos/file/Graves%20e%20fr%C3%ADvolos%20OCR.pdf" TargetMode="External"/><Relationship Id="rId455" Type="http://schemas.openxmlformats.org/officeDocument/2006/relationships/hyperlink" Target="http://omp.ufgd.edu.br/omp/index.php/livrosabertos/catalog/view/20/18/59-1" TargetMode="External"/><Relationship Id="rId212" Type="http://schemas.openxmlformats.org/officeDocument/2006/relationships/hyperlink" Target="https://www2.unifap.br/editora/files/2018/05/Grande-Sert%c3%a3o-60-anos.pdf" TargetMode="External"/><Relationship Id="rId454" Type="http://schemas.openxmlformats.org/officeDocument/2006/relationships/hyperlink" Target="http://omp.ufgd.edu.br/omp/index.php/livrosabertos/catalog/view/36/26/86-2" TargetMode="External"/><Relationship Id="rId211" Type="http://schemas.openxmlformats.org/officeDocument/2006/relationships/hyperlink" Target="https://repositorio.ufsc.br/handle/123456789/187616" TargetMode="External"/><Relationship Id="rId453" Type="http://schemas.openxmlformats.org/officeDocument/2006/relationships/hyperlink" Target="https://livros.unb.br/index.php/portal/catalog/view/10.265129788523012458/12/53-1" TargetMode="External"/><Relationship Id="rId210" Type="http://schemas.openxmlformats.org/officeDocument/2006/relationships/hyperlink" Target="http://www.uesc.br/editora/livrosdigitais2016/graciliano_ramos_desgosto_de_ser_criatura.pdf" TargetMode="External"/><Relationship Id="rId452" Type="http://schemas.openxmlformats.org/officeDocument/2006/relationships/hyperlink" Target="http://editora.ifpb.edu.br/index.php/ifpb/catalog/book/352" TargetMode="External"/><Relationship Id="rId249" Type="http://schemas.openxmlformats.org/officeDocument/2006/relationships/hyperlink" Target="http://www.editora.puc-rio.br/media/e-book%20FINAL_14_PUC_Linguagens_Visuais_fz%20(1).pdf" TargetMode="External"/><Relationship Id="rId248" Type="http://schemas.openxmlformats.org/officeDocument/2006/relationships/hyperlink" Target="http://www.edufu.ufu.br/sites/edufu.ufu.br/files/e-book_linguistica_in_focus_1_reimp_2016_0.pdf" TargetMode="External"/><Relationship Id="rId247" Type="http://schemas.openxmlformats.org/officeDocument/2006/relationships/hyperlink" Target="https://bit.ly/Lima-Barreto-e-Dostoievski" TargetMode="External"/><Relationship Id="rId242" Type="http://schemas.openxmlformats.org/officeDocument/2006/relationships/hyperlink" Target="http://www.uesc.br/editora/livrosdigitais2016/lea10_anos_brasil.pdf" TargetMode="External"/><Relationship Id="rId241" Type="http://schemas.openxmlformats.org/officeDocument/2006/relationships/hyperlink" Target="http://www.editora.puc-rio.br/media/ebook_laisdosbretoes.pdf" TargetMode="External"/><Relationship Id="rId240" Type="http://schemas.openxmlformats.org/officeDocument/2006/relationships/hyperlink" Target="http://www.casaruibarbosa.gov.br/arquivos/file/Lado%20a%20lado%20de%20Rui%20OCR.pdf" TargetMode="External"/><Relationship Id="rId246" Type="http://schemas.openxmlformats.org/officeDocument/2006/relationships/hyperlink" Target="http://repositorio.ufba.br/ri/handle/ri/24144" TargetMode="External"/><Relationship Id="rId245" Type="http://schemas.openxmlformats.org/officeDocument/2006/relationships/hyperlink" Target="https://hdl.handle.net/1884/63943" TargetMode="External"/><Relationship Id="rId244" Type="http://schemas.openxmlformats.org/officeDocument/2006/relationships/hyperlink" Target="http://ufrr.br/editora/index.php/editais?download=422" TargetMode="External"/><Relationship Id="rId243" Type="http://schemas.openxmlformats.org/officeDocument/2006/relationships/hyperlink" Target="http://www.uesc.br/editora/livrosdigitais2015/leitura_e_producao_textual.pdf" TargetMode="External"/><Relationship Id="rId239" Type="http://schemas.openxmlformats.org/officeDocument/2006/relationships/hyperlink" Target="http://www.uesc.br/editora/livrosdigitais2017/labismina.pdf" TargetMode="External"/><Relationship Id="rId238" Type="http://schemas.openxmlformats.org/officeDocument/2006/relationships/hyperlink" Target="http://omp.ufgd.edu.br/omp/index.php/livrosabertos/catalog/view/129/214/495-1" TargetMode="External"/><Relationship Id="rId237" Type="http://schemas.openxmlformats.org/officeDocument/2006/relationships/hyperlink" Target="http://omp.ufgd.edu.br/omp/index.php/livrosabertos/catalog/view/128/215/496-1" TargetMode="External"/><Relationship Id="rId479" Type="http://schemas.openxmlformats.org/officeDocument/2006/relationships/table" Target="../tables/table8.xml"/><Relationship Id="rId236" Type="http://schemas.openxmlformats.org/officeDocument/2006/relationships/hyperlink" Target="http://hdl.handle.net/10183/210493" TargetMode="External"/><Relationship Id="rId231" Type="http://schemas.openxmlformats.org/officeDocument/2006/relationships/hyperlink" Target="http://www.uesc.br/editora/livrosdigitais/itan_de_boca_a_ouvido.pdf" TargetMode="External"/><Relationship Id="rId473" Type="http://schemas.openxmlformats.org/officeDocument/2006/relationships/hyperlink" Target="https://www2.unifap.br/editora/files/2014/12/NETTO-Joaquim.-Visualidade-nas-Artes-olhares-e-considera%c3%a7%c3%b5es.-Macap%c3%a1-UNIFAP-2016.pdf" TargetMode="External"/><Relationship Id="rId230" Type="http://schemas.openxmlformats.org/officeDocument/2006/relationships/hyperlink" Target="http://repositorio.ufes.br/handle/10/795" TargetMode="External"/><Relationship Id="rId472" Type="http://schemas.openxmlformats.org/officeDocument/2006/relationships/hyperlink" Target="http://www.edufu.ufu.br/sites/edufu.ufu.br/files/e-book_o_violao_2017.pdf" TargetMode="External"/><Relationship Id="rId471" Type="http://schemas.openxmlformats.org/officeDocument/2006/relationships/hyperlink" Target="http://www.uesc.br/editora/livrosdigitais/verso_re_verso.pdf" TargetMode="External"/><Relationship Id="rId470" Type="http://schemas.openxmlformats.org/officeDocument/2006/relationships/hyperlink" Target="http://www2.ufac.br/editora/livros/VeredasPoeticas.pdf" TargetMode="External"/><Relationship Id="rId235" Type="http://schemas.openxmlformats.org/officeDocument/2006/relationships/hyperlink" Target="https://www.fundaj.gov.br/images/stories/editora/livros/livro_a_Voz_da_abolicao.pdf" TargetMode="External"/><Relationship Id="rId477" Type="http://schemas.openxmlformats.org/officeDocument/2006/relationships/drawing" Target="../drawings/drawing9.xml"/><Relationship Id="rId234" Type="http://schemas.openxmlformats.org/officeDocument/2006/relationships/hyperlink" Target="https://hdl.handle.net/1884/63940" TargetMode="External"/><Relationship Id="rId476" Type="http://schemas.openxmlformats.org/officeDocument/2006/relationships/hyperlink" Target="https://www2.unifap.br/editora/files/2019/12/xime-dji-konetma.pdf" TargetMode="External"/><Relationship Id="rId233" Type="http://schemas.openxmlformats.org/officeDocument/2006/relationships/hyperlink" Target="http://www.editora.puc-rio.br/media/ebook_um_itinerario_no_seculo.pdf" TargetMode="External"/><Relationship Id="rId475" Type="http://schemas.openxmlformats.org/officeDocument/2006/relationships/hyperlink" Target="http://www.uesc.br/editora/livrosdigitais2017/vou_lhe_contar_um_caso.pdf" TargetMode="External"/><Relationship Id="rId232" Type="http://schemas.openxmlformats.org/officeDocument/2006/relationships/hyperlink" Target="http://www.uesc.br/editora/livrosdigitais/itan_dos_mais_velhos.pdf" TargetMode="External"/><Relationship Id="rId474" Type="http://schemas.openxmlformats.org/officeDocument/2006/relationships/hyperlink" Target="http://repositorio.unesc.net/handle/1/7143" TargetMode="External"/><Relationship Id="rId426" Type="http://schemas.openxmlformats.org/officeDocument/2006/relationships/hyperlink" Target="http://www.casaruibarbosa.gov.br/arquivos/file/Rui%20Barbosa_cronologia%20da%20vida%20e%20da%20obra%20OCR.pdf" TargetMode="External"/><Relationship Id="rId425" Type="http://schemas.openxmlformats.org/officeDocument/2006/relationships/hyperlink" Target="http://ufrr.br/editora/index.php/editais?download=439" TargetMode="External"/><Relationship Id="rId424" Type="http://schemas.openxmlformats.org/officeDocument/2006/relationships/hyperlink" Target="http://repositorio.ufes.br/handle/10/858" TargetMode="External"/><Relationship Id="rId423" Type="http://schemas.openxmlformats.org/officeDocument/2006/relationships/hyperlink" Target="https://www.eduerj.com/eng/?product=rio-babel-a-historia-das-linguas-na-amazonia-ebook" TargetMode="External"/><Relationship Id="rId429" Type="http://schemas.openxmlformats.org/officeDocument/2006/relationships/hyperlink" Target="https://www.ufpi.br/arquivos_download/arquivos/NEPAD_Sentidos_em_disputa_201720200710145830.pdf" TargetMode="External"/><Relationship Id="rId428" Type="http://schemas.openxmlformats.org/officeDocument/2006/relationships/hyperlink" Target="http://repositorio.ufes.br/bitstream/10/6979/1/Sem%C3%A2ntica%2C%20enuncia%C3%A7%C3%A3o%20e%20ensino_vers%C3%A3o%20digital.pdf" TargetMode="External"/><Relationship Id="rId427" Type="http://schemas.openxmlformats.org/officeDocument/2006/relationships/hyperlink" Target="http://www.casaruibarbosa.gov.br/arquivos/file/Rui%20sua%20casa%20e%20seus%20livros%20OCR(1).pdf" TargetMode="External"/><Relationship Id="rId422" Type="http://schemas.openxmlformats.org/officeDocument/2006/relationships/hyperlink" Target="http://www.uesc.br/editora/livrosdigitais2018/rincoes_dos_frutos_de_ouro.pdf" TargetMode="External"/><Relationship Id="rId421" Type="http://schemas.openxmlformats.org/officeDocument/2006/relationships/hyperlink" Target="https://bit.ly/Revirando-casa-e-mundo" TargetMode="External"/><Relationship Id="rId420" Type="http://schemas.openxmlformats.org/officeDocument/2006/relationships/hyperlink" Target="https://portal-archipelagus.azurewebsites.net/farol/eduepg/ebook/ressignificacoes-da-historia-pela-ficcao/1197399/" TargetMode="External"/><Relationship Id="rId415" Type="http://schemas.openxmlformats.org/officeDocument/2006/relationships/hyperlink" Target="http://eduepb.uepb.edu.br/download/reflexo%cc%83es-sobre-o-ensino-aprendizagem-de-linguas-estrangeiras/?wpdmdl=217&amp;amp;masterkey=5af9a0fd6eef6" TargetMode="External"/><Relationship Id="rId414" Type="http://schemas.openxmlformats.org/officeDocument/2006/relationships/hyperlink" Target="http://editora.ifpb.edu.br/index.php/ifpb/catalog/book/3" TargetMode="External"/><Relationship Id="rId413" Type="http://schemas.openxmlformats.org/officeDocument/2006/relationships/hyperlink" Target="http://repositorio.ufes.br/bitstream/10/1507/1/Quando%20n%C3%A3o%20somos%20mais.pdf" TargetMode="External"/><Relationship Id="rId412" Type="http://schemas.openxmlformats.org/officeDocument/2006/relationships/hyperlink" Target="https://www.eduerj.com/eng/?product=quando-eramos-todos-vivos-e-alguns-poemas" TargetMode="External"/><Relationship Id="rId419" Type="http://schemas.openxmlformats.org/officeDocument/2006/relationships/hyperlink" Target="http://www.eduff.uff.br/index.php/livros/597-repeticao-em-dialogos-analise-funcional-da-conversacao" TargetMode="External"/><Relationship Id="rId418" Type="http://schemas.openxmlformats.org/officeDocument/2006/relationships/hyperlink" Target="http://omp.ufgd.edu.br/omp/index.php/livrosabertos/catalog/view/177/114/392-1" TargetMode="External"/><Relationship Id="rId417" Type="http://schemas.openxmlformats.org/officeDocument/2006/relationships/hyperlink" Target="http://www.editora.puc-rio.br/media/Reinvencoes%20da%20narrativa.pdf" TargetMode="External"/><Relationship Id="rId416" Type="http://schemas.openxmlformats.org/officeDocument/2006/relationships/hyperlink" Target="http://portal.unemat.br/media/files/Editora/Livro_SIEPES%20(3)%20(1).pdf" TargetMode="External"/><Relationship Id="rId411" Type="http://schemas.openxmlformats.org/officeDocument/2006/relationships/hyperlink" Target="http://cdn.ueg.edu.br/source/editora_ueg/conteudo_extensao/11279/ebook_qual_e_sua_cancao_ii_coletanea_poemas_2019.pdf" TargetMode="External"/><Relationship Id="rId410" Type="http://schemas.openxmlformats.org/officeDocument/2006/relationships/hyperlink" Target="http://repositorio.unesc.net/handle/1/3802" TargetMode="External"/><Relationship Id="rId206" Type="http://schemas.openxmlformats.org/officeDocument/2006/relationships/hyperlink" Target="https://www.editora.ufop.br/index.php/editora/catalog/view/127/102/334-1" TargetMode="External"/><Relationship Id="rId448" Type="http://schemas.openxmlformats.org/officeDocument/2006/relationships/hyperlink" Target="http://repositorio.ufes.br/handle/10/1900" TargetMode="External"/><Relationship Id="rId205" Type="http://schemas.openxmlformats.org/officeDocument/2006/relationships/hyperlink" Target="https://www2.unifap.br/editora/files/2020/08/franca.pdf" TargetMode="External"/><Relationship Id="rId447" Type="http://schemas.openxmlformats.org/officeDocument/2006/relationships/hyperlink" Target="http://ufrr.br/editora/index.php/editais?download=432" TargetMode="External"/><Relationship Id="rId204" Type="http://schemas.openxmlformats.org/officeDocument/2006/relationships/hyperlink" Target="http://www2.ufac.br/editora/livros/fonetica-e-fonologia.pdf" TargetMode="External"/><Relationship Id="rId446" Type="http://schemas.openxmlformats.org/officeDocument/2006/relationships/hyperlink" Target="http://repositorio.ufes.br/handle/10/832" TargetMode="External"/><Relationship Id="rId203" Type="http://schemas.openxmlformats.org/officeDocument/2006/relationships/hyperlink" Target="https://repositorio.ufsc.br/handle/123456789/187733" TargetMode="External"/><Relationship Id="rId445" Type="http://schemas.openxmlformats.org/officeDocument/2006/relationships/hyperlink" Target="http://omp.ufgd.edu.br/omp/index.php/livrosabertos/catalog/view/40/30/95-1" TargetMode="External"/><Relationship Id="rId209" Type="http://schemas.openxmlformats.org/officeDocument/2006/relationships/hyperlink" Target="http://www.casaruibarbosa.gov.br/arquivos/file/Gosto_Neoclassico_FINAL_0906%20(1).pdf" TargetMode="External"/><Relationship Id="rId208" Type="http://schemas.openxmlformats.org/officeDocument/2006/relationships/hyperlink" Target="http://omp.ufgd.edu.br/omp/index.php/livrosabertos/catalog/view/110/228/509-1" TargetMode="External"/><Relationship Id="rId207" Type="http://schemas.openxmlformats.org/officeDocument/2006/relationships/hyperlink" Target="http://omp.ufgd.edu.br/omp/index.php/livrosabertos/catalog/view/112/226/507-1" TargetMode="External"/><Relationship Id="rId449" Type="http://schemas.openxmlformats.org/officeDocument/2006/relationships/hyperlink" Target="http://www2.ufac.br/editora/livros/tolicesromanticas.pdf" TargetMode="External"/><Relationship Id="rId440" Type="http://schemas.openxmlformats.org/officeDocument/2006/relationships/hyperlink" Target="http://www.uesc.br/editora/livrosdigitais2015/tensoes_do_tempo.pdf" TargetMode="External"/><Relationship Id="rId202" Type="http://schemas.openxmlformats.org/officeDocument/2006/relationships/hyperlink" Target="http://omp.ufgd.edu.br/omp/index.php/livrosabertos/catalog/view/105/236/518-1" TargetMode="External"/><Relationship Id="rId444" Type="http://schemas.openxmlformats.org/officeDocument/2006/relationships/hyperlink" Target="http://www2.ufac.br/editora/livros/TeoriasAmor.pdf" TargetMode="External"/><Relationship Id="rId201" Type="http://schemas.openxmlformats.org/officeDocument/2006/relationships/hyperlink" Target="http://www.editora.puc-rio.br/media/Ficcoes%20de%20infancia.pdf" TargetMode="External"/><Relationship Id="rId443" Type="http://schemas.openxmlformats.org/officeDocument/2006/relationships/hyperlink" Target="http://www.unemat.br/reitoria/editora/downloads/eletronico/livro_teoria_literaria_I_UAB-E_book.pdf" TargetMode="External"/><Relationship Id="rId200" Type="http://schemas.openxmlformats.org/officeDocument/2006/relationships/hyperlink" Target="https://www2.unifap.br/editora/files/2014/12/E-book-Fic%c3%a7%c3%a3o-e-Mem%c3%b3ria.pdf" TargetMode="External"/><Relationship Id="rId442" Type="http://schemas.openxmlformats.org/officeDocument/2006/relationships/hyperlink" Target="http://omp.ufgd.edu.br/omp/index.php/livrosabertos/catalog/view/42/32/99-1" TargetMode="External"/><Relationship Id="rId441" Type="http://schemas.openxmlformats.org/officeDocument/2006/relationships/hyperlink" Target="http://editora.metodista.br/livros-gratis/teoremasdomundo.pdf/at_download/file" TargetMode="External"/><Relationship Id="rId437" Type="http://schemas.openxmlformats.org/officeDocument/2006/relationships/hyperlink" Target="https://www2.unifap.br/editora/files/2019/05/suriname.pdf" TargetMode="External"/><Relationship Id="rId436" Type="http://schemas.openxmlformats.org/officeDocument/2006/relationships/hyperlink" Target="http://repositorio.ufes.br/bitstream/10/1458/6/Sorriso%20de%20persona%20estudos%20sobre%20teatro%20e%20recepcao.pdf" TargetMode="External"/><Relationship Id="rId435" Type="http://schemas.openxmlformats.org/officeDocument/2006/relationships/hyperlink" Target="https://repositorio.ufsc.br/handle/123456789/187671" TargetMode="External"/><Relationship Id="rId434" Type="http://schemas.openxmlformats.org/officeDocument/2006/relationships/hyperlink" Target="https://www2.unifap.br/editora/files/2014/12/Sociolingu%c3%adstica-na-Amaz%c3%b4nia-Volume-II-Odete-Burgeile.pdf" TargetMode="External"/><Relationship Id="rId439" Type="http://schemas.openxmlformats.org/officeDocument/2006/relationships/hyperlink" Target="http://repositorio.ufba.br/ri/handle/ri/17848" TargetMode="External"/><Relationship Id="rId438" Type="http://schemas.openxmlformats.org/officeDocument/2006/relationships/hyperlink" Target="http://omp.ufgd.edu.br/omp/index.php/livrosabertos/catalog/view/250/246/538-1" TargetMode="External"/><Relationship Id="rId433" Type="http://schemas.openxmlformats.org/officeDocument/2006/relationships/hyperlink" Target="http://www.eduff.uff.br/index.php/livros/602-sobre-mulheres-e-estrangeiros-alguns-romances-de-olga-goncalves" TargetMode="External"/><Relationship Id="rId432" Type="http://schemas.openxmlformats.org/officeDocument/2006/relationships/hyperlink" Target="http://www.edufu.ufu.br/sites/edufu.ufu.br/files/e-book_a_egide_2017_0.pdf" TargetMode="External"/><Relationship Id="rId431" Type="http://schemas.openxmlformats.org/officeDocument/2006/relationships/hyperlink" Target="http://www.uesc.br/editora/livrosdigitais2015/silencio_passaros.pdf" TargetMode="External"/><Relationship Id="rId430" Type="http://schemas.openxmlformats.org/officeDocument/2006/relationships/hyperlink" Target="https://www.eduerj.com/eng/?product=sereia-de-papel-visoes-de-ana-cristina-cesar-eboo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12.57"/>
    <col customWidth="1" min="2" max="2" width="29.29"/>
    <col customWidth="1" min="3" max="3" width="22.29"/>
    <col customWidth="1" min="4" max="4" width="20.43"/>
    <col customWidth="1" min="5" max="5" width="21.0"/>
    <col customWidth="1" min="6" max="6" width="20.86"/>
    <col customWidth="1" min="7" max="7" width="25.57"/>
    <col customWidth="1" min="8" max="8" width="14.43"/>
  </cols>
  <sheetData>
    <row r="1">
      <c r="C1" s="1" t="s">
        <v>0</v>
      </c>
    </row>
    <row r="4" ht="17.25" customHeight="1"/>
    <row r="5">
      <c r="B5" s="2" t="s">
        <v>1</v>
      </c>
    </row>
    <row r="6" ht="11.25" customHeight="1">
      <c r="B6" s="3"/>
    </row>
    <row r="7" ht="31.5" customHeight="1">
      <c r="A7" s="4"/>
      <c r="B7" s="5" t="s">
        <v>2</v>
      </c>
      <c r="C7" s="6" t="s">
        <v>3</v>
      </c>
      <c r="I7" s="4"/>
    </row>
    <row r="8" ht="31.5" customHeight="1">
      <c r="A8" s="4"/>
      <c r="B8" s="7" t="s">
        <v>4</v>
      </c>
      <c r="C8" s="8" t="s">
        <v>5</v>
      </c>
      <c r="I8" s="4"/>
    </row>
    <row r="9" ht="31.5" customHeight="1">
      <c r="A9" s="4"/>
      <c r="B9" s="5" t="s">
        <v>6</v>
      </c>
      <c r="C9" s="6" t="s">
        <v>7</v>
      </c>
      <c r="I9" s="4"/>
    </row>
    <row r="10" ht="31.5" customHeight="1">
      <c r="A10" s="4"/>
      <c r="B10" s="7" t="s">
        <v>8</v>
      </c>
      <c r="C10" s="8" t="s">
        <v>9</v>
      </c>
      <c r="I10" s="4"/>
    </row>
    <row r="11" ht="31.5" customHeight="1">
      <c r="A11" s="4"/>
      <c r="B11" s="5" t="s">
        <v>10</v>
      </c>
      <c r="C11" s="6" t="s">
        <v>11</v>
      </c>
      <c r="I11" s="4"/>
    </row>
    <row r="12" ht="31.5" customHeight="1">
      <c r="A12" s="4"/>
      <c r="B12" s="7" t="s">
        <v>12</v>
      </c>
      <c r="C12" s="8" t="s">
        <v>13</v>
      </c>
      <c r="I12" s="4"/>
    </row>
    <row r="13" ht="42.0" customHeight="1">
      <c r="B13" s="5" t="s">
        <v>14</v>
      </c>
      <c r="C13" s="6" t="s">
        <v>15</v>
      </c>
    </row>
    <row r="14" ht="21.0" customHeight="1">
      <c r="B14" s="7" t="s">
        <v>16</v>
      </c>
      <c r="C14" s="8" t="s">
        <v>17</v>
      </c>
    </row>
    <row r="15" ht="10.5" customHeight="1">
      <c r="B15" s="9"/>
    </row>
    <row r="16">
      <c r="B16" s="10" t="s">
        <v>18</v>
      </c>
      <c r="C16" s="11"/>
    </row>
    <row r="17">
      <c r="B17" s="12" t="s">
        <v>19</v>
      </c>
      <c r="C17" s="13"/>
      <c r="D17" s="14" t="s">
        <v>20</v>
      </c>
    </row>
    <row r="18">
      <c r="B18" s="15" t="s">
        <v>21</v>
      </c>
      <c r="C18" s="16"/>
    </row>
    <row r="19">
      <c r="B19" s="17" t="s">
        <v>22</v>
      </c>
      <c r="C19" s="18"/>
    </row>
  </sheetData>
  <mergeCells count="14">
    <mergeCell ref="C12:H12"/>
    <mergeCell ref="C13:H13"/>
    <mergeCell ref="C14:H14"/>
    <mergeCell ref="B17:C17"/>
    <mergeCell ref="D17:G18"/>
    <mergeCell ref="B18:C18"/>
    <mergeCell ref="B19:C19"/>
    <mergeCell ref="C1:H4"/>
    <mergeCell ref="B5:H5"/>
    <mergeCell ref="C7:H7"/>
    <mergeCell ref="C8:H8"/>
    <mergeCell ref="C9:H9"/>
    <mergeCell ref="C10:H10"/>
    <mergeCell ref="C11:H11"/>
  </mergeCells>
  <hyperlinks>
    <hyperlink display="Ciências Agrárias" location="Ciências Agrárias!A1" ref="B7"/>
    <hyperlink display="Ciências Biológicas" location="Ciências Biológicas!A1" ref="B8"/>
    <hyperlink display="Ciências da Saúde" location="Ciências da Saúde!A1" ref="B9"/>
    <hyperlink display="Ciências Exatas e da Terra" location="Ciências Exatas e da Terra!A1" ref="B10"/>
    <hyperlink display="Ciências Humanas" location="Ciências Humanas!A1" ref="B11"/>
    <hyperlink display="Ciências Sociais Aplicadas" location="Ciências Sociais Aplicadas!A1" ref="B12"/>
    <hyperlink display="Engenharias" location="Engenharias!A1" ref="B13"/>
    <hyperlink display="Linguística, Letras e Artes" location="Lingüística, Letras e Artes!A1" ref="B14"/>
    <hyperlink r:id="rId1" ref="B17"/>
    <hyperlink r:id="rId2" ref="D17"/>
    <hyperlink display="Coleções internacionais (DOAB e Open Research Library)" location="Internacionais!A1" ref="B18"/>
    <hyperlink r:id="rId3" ref="B19"/>
  </hyperlinks>
  <drawing r:id="rId4"/>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4.71"/>
    <col customWidth="1" min="2" max="2" width="7.0"/>
  </cols>
  <sheetData>
    <row r="9">
      <c r="B9" s="38" t="s">
        <v>32</v>
      </c>
      <c r="G9" s="39" t="s">
        <v>33</v>
      </c>
    </row>
    <row r="10">
      <c r="C10" s="40" t="s">
        <v>34</v>
      </c>
      <c r="G10" s="39" t="s">
        <v>35</v>
      </c>
    </row>
    <row r="11">
      <c r="C11" s="40" t="s">
        <v>36</v>
      </c>
      <c r="G11" s="39" t="s">
        <v>37</v>
      </c>
    </row>
    <row r="12">
      <c r="C12" s="40" t="s">
        <v>38</v>
      </c>
      <c r="G12" s="39" t="s">
        <v>39</v>
      </c>
    </row>
    <row r="13">
      <c r="C13" s="40" t="s">
        <v>40</v>
      </c>
      <c r="G13" s="39" t="s">
        <v>41</v>
      </c>
    </row>
    <row r="14">
      <c r="C14" s="40" t="s">
        <v>42</v>
      </c>
      <c r="G14" s="39" t="s">
        <v>43</v>
      </c>
    </row>
    <row r="15">
      <c r="C15" s="40" t="s">
        <v>44</v>
      </c>
      <c r="G15" s="39" t="s">
        <v>45</v>
      </c>
    </row>
    <row r="16">
      <c r="B16" s="38" t="s">
        <v>46</v>
      </c>
      <c r="G16" s="39" t="s">
        <v>47</v>
      </c>
    </row>
    <row r="17">
      <c r="C17" s="40" t="s">
        <v>48</v>
      </c>
      <c r="G17" s="39" t="s">
        <v>49</v>
      </c>
    </row>
    <row r="18">
      <c r="C18" s="40" t="s">
        <v>50</v>
      </c>
      <c r="G18" s="39" t="s">
        <v>51</v>
      </c>
    </row>
    <row r="19">
      <c r="C19" s="40" t="s">
        <v>52</v>
      </c>
      <c r="G19" s="39" t="s">
        <v>53</v>
      </c>
    </row>
    <row r="20">
      <c r="C20" s="40" t="s">
        <v>54</v>
      </c>
      <c r="G20" s="39" t="s">
        <v>55</v>
      </c>
    </row>
    <row r="21">
      <c r="C21" s="40" t="s">
        <v>56</v>
      </c>
      <c r="G21" s="39" t="s">
        <v>57</v>
      </c>
    </row>
    <row r="22">
      <c r="C22" s="40" t="s">
        <v>58</v>
      </c>
      <c r="G22" s="39" t="s">
        <v>59</v>
      </c>
    </row>
    <row r="23">
      <c r="B23" s="38" t="s">
        <v>60</v>
      </c>
      <c r="G23" s="39" t="s">
        <v>61</v>
      </c>
    </row>
    <row r="24">
      <c r="C24" s="40" t="s">
        <v>62</v>
      </c>
      <c r="G24" s="39" t="s">
        <v>63</v>
      </c>
    </row>
    <row r="25">
      <c r="C25" s="40" t="s">
        <v>64</v>
      </c>
      <c r="G25" s="39" t="s">
        <v>65</v>
      </c>
    </row>
    <row r="26">
      <c r="C26" s="40" t="s">
        <v>66</v>
      </c>
      <c r="G26" s="39" t="s">
        <v>67</v>
      </c>
    </row>
    <row r="27">
      <c r="C27" s="40" t="s">
        <v>68</v>
      </c>
      <c r="G27" s="39" t="s">
        <v>69</v>
      </c>
    </row>
    <row r="28">
      <c r="C28" s="40" t="s">
        <v>70</v>
      </c>
      <c r="G28" s="39" t="s">
        <v>71</v>
      </c>
    </row>
    <row r="29">
      <c r="C29" s="40" t="s">
        <v>72</v>
      </c>
      <c r="G29" s="39" t="s">
        <v>73</v>
      </c>
    </row>
    <row r="30">
      <c r="C30" s="40" t="s">
        <v>74</v>
      </c>
      <c r="G30" s="39" t="s">
        <v>75</v>
      </c>
    </row>
    <row r="31">
      <c r="C31" s="40" t="s">
        <v>76</v>
      </c>
      <c r="G31" s="39" t="s">
        <v>77</v>
      </c>
    </row>
    <row r="32">
      <c r="C32" s="39" t="s">
        <v>78</v>
      </c>
      <c r="G32" s="39" t="s">
        <v>79</v>
      </c>
    </row>
    <row r="33">
      <c r="C33" s="40" t="s">
        <v>80</v>
      </c>
      <c r="G33" s="39" t="s">
        <v>81</v>
      </c>
    </row>
    <row r="34">
      <c r="C34" s="40" t="s">
        <v>82</v>
      </c>
      <c r="G34" s="39" t="s">
        <v>83</v>
      </c>
    </row>
    <row r="35">
      <c r="B35" s="38" t="s">
        <v>84</v>
      </c>
      <c r="G35" s="39" t="s">
        <v>85</v>
      </c>
    </row>
    <row r="36">
      <c r="C36" s="40" t="s">
        <v>86</v>
      </c>
      <c r="G36" s="39" t="s">
        <v>87</v>
      </c>
    </row>
    <row r="37">
      <c r="C37" s="40" t="s">
        <v>88</v>
      </c>
      <c r="G37" s="39" t="s">
        <v>89</v>
      </c>
    </row>
    <row r="38">
      <c r="B38" s="38" t="s">
        <v>90</v>
      </c>
      <c r="G38" s="39" t="s">
        <v>91</v>
      </c>
    </row>
    <row r="39">
      <c r="C39" s="40" t="s">
        <v>92</v>
      </c>
      <c r="G39" s="39" t="s">
        <v>93</v>
      </c>
    </row>
    <row r="40">
      <c r="C40" s="40" t="s">
        <v>94</v>
      </c>
      <c r="G40" s="39" t="s">
        <v>95</v>
      </c>
    </row>
    <row r="41">
      <c r="C41" s="40" t="s">
        <v>96</v>
      </c>
      <c r="G41" s="39" t="s">
        <v>97</v>
      </c>
    </row>
    <row r="42">
      <c r="C42" s="40" t="s">
        <v>98</v>
      </c>
      <c r="G42" s="39" t="s">
        <v>99</v>
      </c>
    </row>
    <row r="43">
      <c r="C43" s="40" t="s">
        <v>100</v>
      </c>
      <c r="G43" s="39" t="s">
        <v>101</v>
      </c>
    </row>
    <row r="44">
      <c r="B44" s="38" t="s">
        <v>102</v>
      </c>
      <c r="G44" s="39" t="s">
        <v>103</v>
      </c>
    </row>
    <row r="45">
      <c r="C45" s="40" t="s">
        <v>104</v>
      </c>
      <c r="G45" s="39" t="s">
        <v>105</v>
      </c>
    </row>
    <row r="46">
      <c r="C46" s="40" t="s">
        <v>106</v>
      </c>
      <c r="G46" s="39" t="s">
        <v>107</v>
      </c>
    </row>
    <row r="47">
      <c r="C47" s="40" t="s">
        <v>108</v>
      </c>
      <c r="G47" s="39" t="s">
        <v>109</v>
      </c>
    </row>
    <row r="48">
      <c r="C48" s="40" t="s">
        <v>110</v>
      </c>
      <c r="G48" s="39" t="s">
        <v>111</v>
      </c>
    </row>
    <row r="49">
      <c r="C49" s="40" t="s">
        <v>112</v>
      </c>
      <c r="G49" s="39" t="s">
        <v>113</v>
      </c>
    </row>
    <row r="50">
      <c r="C50" s="40" t="s">
        <v>114</v>
      </c>
      <c r="G50" s="39" t="s">
        <v>115</v>
      </c>
    </row>
    <row r="51">
      <c r="C51" s="40" t="s">
        <v>116</v>
      </c>
      <c r="G51" s="39" t="s">
        <v>117</v>
      </c>
    </row>
    <row r="52">
      <c r="C52" s="40" t="s">
        <v>118</v>
      </c>
    </row>
    <row r="53">
      <c r="B53" s="38" t="s">
        <v>119</v>
      </c>
    </row>
    <row r="54">
      <c r="C54" s="40" t="s">
        <v>120</v>
      </c>
    </row>
    <row r="55">
      <c r="B55" s="38" t="s">
        <v>121</v>
      </c>
    </row>
    <row r="56">
      <c r="C56" s="40" t="s">
        <v>122</v>
      </c>
    </row>
    <row r="57">
      <c r="C57" s="40" t="s">
        <v>123</v>
      </c>
    </row>
    <row r="58">
      <c r="C58" s="40" t="s">
        <v>124</v>
      </c>
    </row>
    <row r="59">
      <c r="C59" s="40" t="s">
        <v>125</v>
      </c>
    </row>
    <row r="60">
      <c r="C60" s="40" t="s">
        <v>126</v>
      </c>
    </row>
    <row r="61">
      <c r="C61" s="40" t="s">
        <v>127</v>
      </c>
    </row>
    <row r="62">
      <c r="C62" s="40" t="s">
        <v>128</v>
      </c>
    </row>
    <row r="63">
      <c r="C63" s="40" t="s">
        <v>129</v>
      </c>
    </row>
    <row r="64">
      <c r="C64" s="40" t="s">
        <v>130</v>
      </c>
    </row>
    <row r="65">
      <c r="C65" s="40" t="s">
        <v>131</v>
      </c>
    </row>
    <row r="66">
      <c r="C66" s="40" t="s">
        <v>132</v>
      </c>
    </row>
    <row r="67">
      <c r="C67" s="40" t="s">
        <v>133</v>
      </c>
    </row>
    <row r="68">
      <c r="C68" s="40" t="s">
        <v>134</v>
      </c>
    </row>
    <row r="69">
      <c r="C69" s="40" t="s">
        <v>135</v>
      </c>
    </row>
    <row r="70">
      <c r="C70" s="40" t="s">
        <v>136</v>
      </c>
    </row>
    <row r="71">
      <c r="C71" s="40" t="s">
        <v>137</v>
      </c>
    </row>
    <row r="72">
      <c r="C72" s="40" t="s">
        <v>138</v>
      </c>
    </row>
    <row r="73">
      <c r="C73" s="40" t="s">
        <v>139</v>
      </c>
    </row>
    <row r="74">
      <c r="C74" s="40" t="s">
        <v>140</v>
      </c>
    </row>
    <row r="75">
      <c r="C75" s="40" t="s">
        <v>141</v>
      </c>
    </row>
    <row r="76">
      <c r="C76" s="40" t="s">
        <v>142</v>
      </c>
    </row>
    <row r="77">
      <c r="C77" s="40" t="s">
        <v>143</v>
      </c>
    </row>
    <row r="78">
      <c r="C78" s="40" t="s">
        <v>144</v>
      </c>
    </row>
    <row r="79">
      <c r="C79" s="40" t="s">
        <v>145</v>
      </c>
    </row>
    <row r="80">
      <c r="B80" s="38" t="s">
        <v>146</v>
      </c>
    </row>
    <row r="81">
      <c r="C81" s="40" t="s">
        <v>147</v>
      </c>
    </row>
    <row r="82">
      <c r="C82" s="40" t="s">
        <v>148</v>
      </c>
    </row>
    <row r="83">
      <c r="C83" s="40" t="s">
        <v>149</v>
      </c>
    </row>
    <row r="84">
      <c r="B84" s="38" t="s">
        <v>150</v>
      </c>
    </row>
    <row r="85">
      <c r="C85" s="40" t="s">
        <v>151</v>
      </c>
    </row>
    <row r="86">
      <c r="C86" s="40" t="s">
        <v>152</v>
      </c>
    </row>
    <row r="87">
      <c r="B87" s="38" t="s">
        <v>153</v>
      </c>
    </row>
    <row r="88">
      <c r="C88" s="40" t="s">
        <v>154</v>
      </c>
    </row>
    <row r="89">
      <c r="C89" s="40" t="s">
        <v>155</v>
      </c>
    </row>
    <row r="90">
      <c r="B90" s="38" t="s">
        <v>156</v>
      </c>
    </row>
    <row r="91">
      <c r="C91" s="40" t="s">
        <v>157</v>
      </c>
    </row>
    <row r="92">
      <c r="C92" s="40" t="s">
        <v>158</v>
      </c>
    </row>
    <row r="93">
      <c r="B93" s="38" t="s">
        <v>159</v>
      </c>
    </row>
    <row r="94">
      <c r="C94" s="40" t="s">
        <v>160</v>
      </c>
    </row>
    <row r="95">
      <c r="C95" s="40" t="s">
        <v>161</v>
      </c>
    </row>
    <row r="96">
      <c r="C96" s="40" t="s">
        <v>162</v>
      </c>
    </row>
    <row r="97">
      <c r="B97" s="38" t="s">
        <v>163</v>
      </c>
    </row>
    <row r="98">
      <c r="C98" s="40" t="s">
        <v>164</v>
      </c>
    </row>
    <row r="99">
      <c r="C99" s="40" t="s">
        <v>165</v>
      </c>
    </row>
    <row r="100">
      <c r="C100" s="40" t="s">
        <v>166</v>
      </c>
    </row>
    <row r="101">
      <c r="C101" s="40" t="s">
        <v>167</v>
      </c>
    </row>
    <row r="102">
      <c r="C102" s="40" t="s">
        <v>168</v>
      </c>
    </row>
    <row r="103">
      <c r="C103" s="40" t="s">
        <v>169</v>
      </c>
    </row>
    <row r="104">
      <c r="C104" s="40" t="s">
        <v>170</v>
      </c>
    </row>
    <row r="105">
      <c r="C105" s="40" t="s">
        <v>171</v>
      </c>
    </row>
    <row r="106">
      <c r="B106" s="38" t="s">
        <v>172</v>
      </c>
    </row>
    <row r="107">
      <c r="C107" s="40" t="s">
        <v>173</v>
      </c>
    </row>
    <row r="108">
      <c r="C108" s="40" t="s">
        <v>174</v>
      </c>
    </row>
    <row r="109">
      <c r="B109" s="38" t="s">
        <v>175</v>
      </c>
    </row>
    <row r="110">
      <c r="C110" s="40" t="s">
        <v>176</v>
      </c>
    </row>
    <row r="111">
      <c r="C111" s="40" t="s">
        <v>177</v>
      </c>
    </row>
    <row r="112">
      <c r="C112" s="40" t="s">
        <v>178</v>
      </c>
    </row>
    <row r="113">
      <c r="C113" s="40" t="s">
        <v>179</v>
      </c>
    </row>
    <row r="114">
      <c r="C114" s="40" t="s">
        <v>180</v>
      </c>
    </row>
    <row r="115">
      <c r="C115" s="40" t="s">
        <v>181</v>
      </c>
    </row>
    <row r="116">
      <c r="C116" s="40" t="s">
        <v>182</v>
      </c>
    </row>
    <row r="117">
      <c r="C117" s="40" t="s">
        <v>183</v>
      </c>
    </row>
    <row r="118">
      <c r="C118" s="40" t="s">
        <v>184</v>
      </c>
    </row>
    <row r="119">
      <c r="C119" s="40" t="s">
        <v>185</v>
      </c>
    </row>
    <row r="120">
      <c r="C120" s="40" t="s">
        <v>186</v>
      </c>
    </row>
    <row r="121">
      <c r="C121" s="40" t="s">
        <v>187</v>
      </c>
    </row>
    <row r="122">
      <c r="C122" s="40" t="s">
        <v>188</v>
      </c>
    </row>
    <row r="123">
      <c r="B123" s="38" t="s">
        <v>189</v>
      </c>
    </row>
    <row r="124">
      <c r="C124" s="40" t="s">
        <v>190</v>
      </c>
    </row>
    <row r="125">
      <c r="C125" s="40" t="s">
        <v>191</v>
      </c>
    </row>
    <row r="126">
      <c r="C126" s="40" t="s">
        <v>192</v>
      </c>
    </row>
    <row r="127">
      <c r="C127" s="40" t="s">
        <v>193</v>
      </c>
    </row>
    <row r="128">
      <c r="C128" s="40" t="s">
        <v>194</v>
      </c>
    </row>
    <row r="129">
      <c r="C129" s="40" t="s">
        <v>195</v>
      </c>
    </row>
    <row r="130">
      <c r="C130" s="40" t="s">
        <v>196</v>
      </c>
    </row>
    <row r="131">
      <c r="C131" s="40" t="s">
        <v>197</v>
      </c>
    </row>
    <row r="132">
      <c r="C132" s="40" t="s">
        <v>198</v>
      </c>
    </row>
    <row r="133">
      <c r="C133" s="40" t="s">
        <v>199</v>
      </c>
    </row>
    <row r="134">
      <c r="C134" s="40" t="s">
        <v>200</v>
      </c>
    </row>
    <row r="135">
      <c r="C135" s="40" t="s">
        <v>201</v>
      </c>
    </row>
    <row r="136">
      <c r="C136" s="40" t="s">
        <v>202</v>
      </c>
    </row>
    <row r="137">
      <c r="C137" s="40" t="s">
        <v>203</v>
      </c>
    </row>
    <row r="138">
      <c r="C138" s="40" t="s">
        <v>204</v>
      </c>
    </row>
    <row r="139">
      <c r="C139" s="40" t="s">
        <v>205</v>
      </c>
    </row>
  </sheetData>
  <hyperlinks>
    <hyperlink r:id="rId1" ref="B9"/>
    <hyperlink r:id="rId2" ref="G9"/>
    <hyperlink r:id="rId3" ref="C10"/>
    <hyperlink r:id="rId4" ref="G10"/>
    <hyperlink r:id="rId5" ref="C11"/>
    <hyperlink r:id="rId6" ref="G11"/>
    <hyperlink r:id="rId7" ref="C12"/>
    <hyperlink r:id="rId8" ref="G12"/>
    <hyperlink r:id="rId9" ref="C13"/>
    <hyperlink r:id="rId10" ref="G13"/>
    <hyperlink r:id="rId11" ref="C14"/>
    <hyperlink r:id="rId12" ref="G14"/>
    <hyperlink r:id="rId13" ref="C15"/>
    <hyperlink r:id="rId14" ref="G15"/>
    <hyperlink r:id="rId15" ref="B16"/>
    <hyperlink r:id="rId16" ref="G16"/>
    <hyperlink r:id="rId17" ref="C17"/>
    <hyperlink r:id="rId18" ref="G17"/>
    <hyperlink r:id="rId19" ref="C18"/>
    <hyperlink r:id="rId20" ref="G18"/>
    <hyperlink r:id="rId21" ref="C19"/>
    <hyperlink r:id="rId22" ref="G19"/>
    <hyperlink r:id="rId23" ref="C20"/>
    <hyperlink r:id="rId24" ref="G20"/>
    <hyperlink r:id="rId25" ref="C21"/>
    <hyperlink r:id="rId26" ref="G21"/>
    <hyperlink r:id="rId27" ref="C22"/>
    <hyperlink r:id="rId28" ref="G22"/>
    <hyperlink r:id="rId29" ref="B23"/>
    <hyperlink r:id="rId30" ref="G23"/>
    <hyperlink r:id="rId31" ref="C24"/>
    <hyperlink r:id="rId32" ref="G24"/>
    <hyperlink r:id="rId33" ref="C25"/>
    <hyperlink r:id="rId34" ref="G25"/>
    <hyperlink r:id="rId35" ref="C26"/>
    <hyperlink r:id="rId36" ref="G26"/>
    <hyperlink r:id="rId37" ref="C27"/>
    <hyperlink r:id="rId38" ref="G27"/>
    <hyperlink r:id="rId39" ref="C28"/>
    <hyperlink r:id="rId40" ref="G28"/>
    <hyperlink r:id="rId41" ref="C29"/>
    <hyperlink r:id="rId42" ref="G29"/>
    <hyperlink r:id="rId43" ref="C30"/>
    <hyperlink r:id="rId44" ref="G30"/>
    <hyperlink r:id="rId45" ref="C31"/>
    <hyperlink r:id="rId46" ref="G31"/>
    <hyperlink r:id="rId47" ref="C32"/>
    <hyperlink r:id="rId48" ref="G32"/>
    <hyperlink r:id="rId49" ref="C33"/>
    <hyperlink r:id="rId50" ref="G33"/>
    <hyperlink r:id="rId51" ref="C34"/>
    <hyperlink r:id="rId52" ref="G34"/>
    <hyperlink r:id="rId53" ref="B35"/>
    <hyperlink r:id="rId54" ref="G35"/>
    <hyperlink r:id="rId55" ref="C36"/>
    <hyperlink r:id="rId56" ref="G36"/>
    <hyperlink r:id="rId57" ref="C37"/>
    <hyperlink r:id="rId58" ref="G37"/>
    <hyperlink r:id="rId59" ref="B38"/>
    <hyperlink r:id="rId60" ref="G38"/>
    <hyperlink r:id="rId61" ref="C39"/>
    <hyperlink r:id="rId62" ref="G39"/>
    <hyperlink r:id="rId63" ref="C40"/>
    <hyperlink r:id="rId64" ref="G40"/>
    <hyperlink r:id="rId65" ref="C41"/>
    <hyperlink r:id="rId66" ref="G41"/>
    <hyperlink r:id="rId67" ref="C42"/>
    <hyperlink r:id="rId68" ref="G42"/>
    <hyperlink r:id="rId69" ref="C43"/>
    <hyperlink r:id="rId70" ref="G43"/>
    <hyperlink r:id="rId71" ref="B44"/>
    <hyperlink r:id="rId72" ref="G44"/>
    <hyperlink r:id="rId73" ref="C45"/>
    <hyperlink r:id="rId74" ref="G45"/>
    <hyperlink r:id="rId75" ref="C46"/>
    <hyperlink r:id="rId76" ref="G46"/>
    <hyperlink r:id="rId77" ref="C47"/>
    <hyperlink r:id="rId78" ref="G47"/>
    <hyperlink r:id="rId79" ref="C48"/>
    <hyperlink r:id="rId80" ref="G48"/>
    <hyperlink r:id="rId81" ref="C49"/>
    <hyperlink r:id="rId82" ref="G49"/>
    <hyperlink r:id="rId83" ref="C50"/>
    <hyperlink r:id="rId84" ref="G50"/>
    <hyperlink r:id="rId85" ref="C51"/>
    <hyperlink r:id="rId86" ref="G51"/>
    <hyperlink r:id="rId87" ref="C52"/>
    <hyperlink r:id="rId88" ref="B53"/>
    <hyperlink r:id="rId89" ref="C54"/>
    <hyperlink r:id="rId90" ref="B55"/>
    <hyperlink r:id="rId91" ref="C56"/>
    <hyperlink r:id="rId92" ref="C57"/>
    <hyperlink r:id="rId93" ref="C58"/>
    <hyperlink r:id="rId94" ref="C59"/>
    <hyperlink r:id="rId95" ref="C60"/>
    <hyperlink r:id="rId96" ref="C61"/>
    <hyperlink r:id="rId97" ref="C62"/>
    <hyperlink r:id="rId98" ref="C63"/>
    <hyperlink r:id="rId99" ref="C64"/>
    <hyperlink r:id="rId100" ref="C65"/>
    <hyperlink r:id="rId101" ref="C66"/>
    <hyperlink r:id="rId102" ref="C67"/>
    <hyperlink r:id="rId103" ref="C68"/>
    <hyperlink r:id="rId104" ref="C69"/>
    <hyperlink r:id="rId105" ref="C70"/>
    <hyperlink r:id="rId106" ref="C71"/>
    <hyperlink r:id="rId107" ref="C72"/>
    <hyperlink r:id="rId108" ref="C73"/>
    <hyperlink r:id="rId109" ref="C74"/>
    <hyperlink r:id="rId110" ref="C75"/>
    <hyperlink r:id="rId111" ref="C76"/>
    <hyperlink r:id="rId112" ref="C77"/>
    <hyperlink r:id="rId113" ref="C78"/>
    <hyperlink r:id="rId114" ref="C79"/>
    <hyperlink r:id="rId115" ref="B80"/>
    <hyperlink r:id="rId116" ref="C81"/>
    <hyperlink r:id="rId117" ref="C82"/>
    <hyperlink r:id="rId118" ref="C83"/>
    <hyperlink r:id="rId119" ref="B84"/>
    <hyperlink r:id="rId120" ref="C85"/>
    <hyperlink r:id="rId121" ref="C86"/>
    <hyperlink r:id="rId122" ref="B87"/>
    <hyperlink r:id="rId123" ref="C88"/>
    <hyperlink r:id="rId124" ref="C89"/>
    <hyperlink r:id="rId125" ref="B90"/>
    <hyperlink r:id="rId126" ref="C91"/>
    <hyperlink r:id="rId127" ref="C92"/>
    <hyperlink r:id="rId128" ref="B93"/>
    <hyperlink r:id="rId129" ref="C94"/>
    <hyperlink r:id="rId130" ref="C95"/>
    <hyperlink r:id="rId131" ref="C96"/>
    <hyperlink r:id="rId132" ref="B97"/>
    <hyperlink r:id="rId133" ref="C98"/>
    <hyperlink r:id="rId134" ref="C99"/>
    <hyperlink r:id="rId135" ref="C100"/>
    <hyperlink r:id="rId136" ref="C101"/>
    <hyperlink r:id="rId137" ref="C102"/>
    <hyperlink r:id="rId138" ref="C103"/>
    <hyperlink r:id="rId139" ref="C104"/>
    <hyperlink r:id="rId140" ref="C105"/>
    <hyperlink r:id="rId141" ref="B106"/>
    <hyperlink r:id="rId142" ref="C107"/>
    <hyperlink r:id="rId143" ref="C108"/>
    <hyperlink r:id="rId144" ref="B109"/>
    <hyperlink r:id="rId145" ref="C110"/>
    <hyperlink r:id="rId146" ref="C111"/>
    <hyperlink r:id="rId147" ref="C112"/>
    <hyperlink r:id="rId148" ref="C113"/>
    <hyperlink r:id="rId149" ref="C114"/>
    <hyperlink r:id="rId150" ref="C115"/>
    <hyperlink r:id="rId151" ref="C116"/>
    <hyperlink r:id="rId152" ref="C117"/>
    <hyperlink r:id="rId153" ref="C118"/>
    <hyperlink r:id="rId154" ref="C119"/>
    <hyperlink r:id="rId155" ref="C120"/>
    <hyperlink r:id="rId156" ref="C121"/>
    <hyperlink r:id="rId157" ref="C122"/>
    <hyperlink r:id="rId158" ref="B123"/>
    <hyperlink r:id="rId159" ref="C124"/>
    <hyperlink r:id="rId160" ref="C125"/>
    <hyperlink r:id="rId161" ref="C126"/>
    <hyperlink r:id="rId162" ref="C127"/>
    <hyperlink r:id="rId163" ref="C128"/>
    <hyperlink r:id="rId164" ref="C129"/>
    <hyperlink r:id="rId165" ref="C130"/>
    <hyperlink r:id="rId166" ref="C131"/>
    <hyperlink r:id="rId167" ref="C132"/>
    <hyperlink r:id="rId168" ref="C133"/>
    <hyperlink r:id="rId169" ref="C134"/>
    <hyperlink r:id="rId170" ref="C135"/>
    <hyperlink r:id="rId171" ref="C136"/>
    <hyperlink r:id="rId172" ref="C137"/>
    <hyperlink r:id="rId173" ref="C138"/>
    <hyperlink r:id="rId174" ref="C139"/>
  </hyperlinks>
  <drawing r:id="rId17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5.86"/>
    <col customWidth="1" min="2" max="2" width="27.57"/>
    <col customWidth="1" min="3" max="3" width="13.86"/>
    <col customWidth="1" min="4" max="4" width="12.43"/>
    <col customWidth="1" min="5" max="5" width="7.57"/>
    <col customWidth="1" min="6" max="6" width="36.29"/>
    <col customWidth="1" min="7" max="7" width="14.71"/>
    <col customWidth="1" min="8" max="8" width="28.14"/>
    <col customWidth="1" hidden="1" min="9" max="9" width="24.0"/>
  </cols>
  <sheetData>
    <row r="1">
      <c r="A1" s="19" t="s">
        <v>23</v>
      </c>
      <c r="B1" s="20" t="s">
        <v>24</v>
      </c>
      <c r="C1" s="20" t="s">
        <v>25</v>
      </c>
      <c r="D1" s="20" t="s">
        <v>26</v>
      </c>
      <c r="E1" s="21" t="s">
        <v>27</v>
      </c>
      <c r="F1" s="20" t="s">
        <v>28</v>
      </c>
      <c r="G1" s="22" t="s">
        <v>29</v>
      </c>
      <c r="H1" s="23" t="s">
        <v>30</v>
      </c>
      <c r="I1" s="20" t="s">
        <v>31</v>
      </c>
    </row>
    <row r="2">
      <c r="A2" s="24" t="str">
        <f>IFERROR(__xludf.DUMMYFUNCTION("IMPORTRANGE(""https://docs.google.com/spreadsheets/d/13YtZlkEQw4W38VCdbK3PbAk4uf6r7LAkUEaRwo0J7Jo/edit#gid=291977917"",""PlanilhaUnificada!B2:J107"")"),"500 anos de uso do solo no Brasil ")</f>
        <v>500 anos de uso do solo no Brasil </v>
      </c>
      <c r="B2" s="24" t="str">
        <f>IFERROR(__xludf.DUMMYFUNCTION("""COMPUTED_VALUE"""),"Quintino Reis de Araujo (org.)")</f>
        <v>Quintino Reis de Araujo (org.)</v>
      </c>
      <c r="C2" s="24" t="str">
        <f>IFERROR(__xludf.DUMMYFUNCTION("""COMPUTED_VALUE"""),"Ilhéus, BA")</f>
        <v>Ilhéus, BA</v>
      </c>
      <c r="D2" s="24" t="str">
        <f>IFERROR(__xludf.DUMMYFUNCTION("""COMPUTED_VALUE"""),"Editus")</f>
        <v>Editus</v>
      </c>
      <c r="E2" s="25">
        <f>IFERROR(__xludf.DUMMYFUNCTION("""COMPUTED_VALUE"""),2002.0)</f>
        <v>2002</v>
      </c>
      <c r="F2" s="24" t="str">
        <f>IFERROR(__xludf.DUMMYFUNCTION("""COMPUTED_VALUE"""),"Solo - Uso; Solo - Uso - Congressos; Solo - Conservação; Solo - Uso - Brasil")</f>
        <v>Solo - Uso; Solo - Uso - Congressos; Solo - Conservação; Solo - Uso - Brasil</v>
      </c>
      <c r="G2" s="26"/>
      <c r="H2" s="27" t="str">
        <f>IFERROR(__xludf.DUMMYFUNCTION("""COMPUTED_VALUE"""),"http://www.uesc.br/editora/livrosdigitais2015/500_anos_uso_solo.pdf")</f>
        <v>http://www.uesc.br/editora/livrosdigitais2015/500_anos_uso_solo.pdf</v>
      </c>
      <c r="I2" s="24" t="str">
        <f>IFERROR(__xludf.DUMMYFUNCTION("""COMPUTED_VALUE"""),"Ciências Agrárias")</f>
        <v>Ciências Agrárias</v>
      </c>
    </row>
    <row r="3">
      <c r="A3" s="24" t="str">
        <f>IFERROR(__xludf.DUMMYFUNCTION("""COMPUTED_VALUE"""),"A aventura de Horácio")</f>
        <v>A aventura de Horácio</v>
      </c>
      <c r="B3" s="24" t="str">
        <f>IFERROR(__xludf.DUMMYFUNCTION("""COMPUTED_VALUE"""),"Cachoeira, Edneia... [et all]; Ilustração: Pampuch, Silvana")</f>
        <v>Cachoeira, Edneia... [et all]; Ilustração: Pampuch, Silvana</v>
      </c>
      <c r="C3" s="24" t="str">
        <f>IFERROR(__xludf.DUMMYFUNCTION("""COMPUTED_VALUE"""),"Matinhos")</f>
        <v>Matinhos</v>
      </c>
      <c r="D3" s="24" t="str">
        <f>IFERROR(__xludf.DUMMYFUNCTION("""COMPUTED_VALUE"""),"UFPR - Litoral")</f>
        <v>UFPR - Litoral</v>
      </c>
      <c r="E3" s="25">
        <f>IFERROR(__xludf.DUMMYFUNCTION("""COMPUTED_VALUE"""),2018.0)</f>
        <v>2018</v>
      </c>
      <c r="F3" s="24" t="str">
        <f>IFERROR(__xludf.DUMMYFUNCTION("""COMPUTED_VALUE"""),"Agroecologia; Desenvolvimento Territorial Sustentável; Agricultor")</f>
        <v>Agroecologia; Desenvolvimento Territorial Sustentável; Agricultor</v>
      </c>
      <c r="G3" s="28" t="str">
        <f>IFERROR(__xludf.DUMMYFUNCTION("""COMPUTED_VALUE"""),"9788563839275")</f>
        <v>9788563839275</v>
      </c>
      <c r="H3" s="27" t="str">
        <f>IFERROR(__xludf.DUMMYFUNCTION("""COMPUTED_VALUE"""),"https://hdl.handle.net/1884/61705")</f>
        <v>https://hdl.handle.net/1884/61705</v>
      </c>
      <c r="I3" s="24" t="str">
        <f>IFERROR(__xludf.DUMMYFUNCTION("""COMPUTED_VALUE"""),"Ciências Agrárias")</f>
        <v>Ciências Agrárias</v>
      </c>
    </row>
    <row r="4">
      <c r="A4" s="24" t="str">
        <f>IFERROR(__xludf.DUMMYFUNCTION("""COMPUTED_VALUE"""),"A Comissão Interestadual da Bacia Paraná-Uruguai no planejamento regional brasileiro (1951-1972)")</f>
        <v>A Comissão Interestadual da Bacia Paraná-Uruguai no planejamento regional brasileiro (1951-1972)</v>
      </c>
      <c r="B4" s="24" t="str">
        <f>IFERROR(__xludf.DUMMYFUNCTION("""COMPUTED_VALUE"""),"Cleonice Gardin")</f>
        <v>Cleonice Gardin</v>
      </c>
      <c r="C4" s="24" t="str">
        <f>IFERROR(__xludf.DUMMYFUNCTION("""COMPUTED_VALUE"""),"Dourados, MS")</f>
        <v>Dourados, MS</v>
      </c>
      <c r="D4" s="24" t="str">
        <f>IFERROR(__xludf.DUMMYFUNCTION("""COMPUTED_VALUE"""),"Editora da UFGD")</f>
        <v>Editora da UFGD</v>
      </c>
      <c r="E4" s="25">
        <f>IFERROR(__xludf.DUMMYFUNCTION("""COMPUTED_VALUE"""),2009.0)</f>
        <v>2009</v>
      </c>
      <c r="F4" s="24" t="str">
        <f>IFERROR(__xludf.DUMMYFUNCTION("""COMPUTED_VALUE"""),"Comissão Interestadual da Bacia Paraná-Uruguai (MT, MS e SP); Economia regional, 1951-1972; Brasil – Política e governo")</f>
        <v>Comissão Interestadual da Bacia Paraná-Uruguai (MT, MS e SP); Economia regional, 1951-1972; Brasil – Política e governo</v>
      </c>
      <c r="G4" s="28" t="str">
        <f>IFERROR(__xludf.DUMMYFUNCTION("""COMPUTED_VALUE"""),"9788561228347")</f>
        <v>9788561228347</v>
      </c>
      <c r="H4" s="27" t="str">
        <f>IFERROR(__xludf.DUMMYFUNCTION("""COMPUTED_VALUE"""),"http://omp.ufgd.edu.br/omp/index.php/livrosabertos/catalog/view/62/66/227-1")</f>
        <v>http://omp.ufgd.edu.br/omp/index.php/livrosabertos/catalog/view/62/66/227-1</v>
      </c>
      <c r="I4" s="24" t="str">
        <f>IFERROR(__xludf.DUMMYFUNCTION("""COMPUTED_VALUE"""),"Ciências Agrárias")</f>
        <v>Ciências Agrárias</v>
      </c>
    </row>
    <row r="5">
      <c r="A5" s="24" t="str">
        <f>IFERROR(__xludf.DUMMYFUNCTION("""COMPUTED_VALUE"""),"A Conservação das sementes crioulas: uma visão interdisciplinar da agrobiodiversidade")</f>
        <v>A Conservação das sementes crioulas: uma visão interdisciplinar da agrobiodiversidade</v>
      </c>
      <c r="B5" s="24" t="str">
        <f>IFERROR(__xludf.DUMMYFUNCTION("""COMPUTED_VALUE"""),"Pereira, Viviane Camejo; Dal Soglio, Fabio Kessler ")</f>
        <v>Pereira, Viviane Camejo; Dal Soglio, Fabio Kessler </v>
      </c>
      <c r="C5" s="24" t="str">
        <f>IFERROR(__xludf.DUMMYFUNCTION("""COMPUTED_VALUE"""),"Porto Alegre")</f>
        <v>Porto Alegre</v>
      </c>
      <c r="D5" s="24" t="str">
        <f>IFERROR(__xludf.DUMMYFUNCTION("""COMPUTED_VALUE"""),"UFRGS")</f>
        <v>UFRGS</v>
      </c>
      <c r="E5" s="25">
        <f>IFERROR(__xludf.DUMMYFUNCTION("""COMPUTED_VALUE"""),2020.0)</f>
        <v>2020</v>
      </c>
      <c r="F5" s="24" t="str">
        <f>IFERROR(__xludf.DUMMYFUNCTION("""COMPUTED_VALUE"""),"Agrobiodiversidade; Segurança alimentar; Semente crioula")</f>
        <v>Agrobiodiversidade; Segurança alimentar; Semente crioula</v>
      </c>
      <c r="G5" s="28" t="str">
        <f>IFERROR(__xludf.DUMMYFUNCTION("""COMPUTED_VALUE"""),"9786557250075 (pdf) 9786557250082 (epub)")</f>
        <v>9786557250075 (pdf) 9786557250082 (epub)</v>
      </c>
      <c r="H5" s="29" t="str">
        <f>IFERROR(__xludf.DUMMYFUNCTION("""COMPUTED_VALUE"""),"http://hdl.handle.net/10183/213319")</f>
        <v>http://hdl.handle.net/10183/213319</v>
      </c>
      <c r="I5" s="24" t="str">
        <f>IFERROR(__xludf.DUMMYFUNCTION("""COMPUTED_VALUE"""),"Ciências Agrárias")</f>
        <v>Ciências Agrárias</v>
      </c>
    </row>
    <row r="6">
      <c r="A6" s="24" t="str">
        <f>IFERROR(__xludf.DUMMYFUNCTION("""COMPUTED_VALUE"""),"A contribuição brasileira à segurança alimentar e nutricional sustentável")</f>
        <v>A contribuição brasileira à segurança alimentar e nutricional sustentável</v>
      </c>
      <c r="B6" s="24" t="str">
        <f>IFERROR(__xludf.DUMMYFUNCTION("""COMPUTED_VALUE"""),"Preiss, Potira Viegas; Schneider, Sergio; Coelho-de-Souza, Gabriela ")</f>
        <v>Preiss, Potira Viegas; Schneider, Sergio; Coelho-de-Souza, Gabriela </v>
      </c>
      <c r="C6" s="24" t="str">
        <f>IFERROR(__xludf.DUMMYFUNCTION("""COMPUTED_VALUE"""),"Porto Alegre")</f>
        <v>Porto Alegre</v>
      </c>
      <c r="D6" s="24" t="str">
        <f>IFERROR(__xludf.DUMMYFUNCTION("""COMPUTED_VALUE"""),"UFRGS")</f>
        <v>UFRGS</v>
      </c>
      <c r="E6" s="25">
        <f>IFERROR(__xludf.DUMMYFUNCTION("""COMPUTED_VALUE"""),2020.0)</f>
        <v>2020</v>
      </c>
      <c r="F6" s="24" t="str">
        <f>IFERROR(__xludf.DUMMYFUNCTION("""COMPUTED_VALUE"""),"Agricultura; Alimentação escolar; Desenvolvimento rural; Políticas públicas; Segurança alimentar")</f>
        <v>Agricultura; Alimentação escolar; Desenvolvimento rural; Políticas públicas; Segurança alimentar</v>
      </c>
      <c r="G6" s="28" t="str">
        <f>IFERROR(__xludf.DUMMYFUNCTION("""COMPUTED_VALUE"""),"9786557250068")</f>
        <v>9786557250068</v>
      </c>
      <c r="H6" s="27" t="str">
        <f>IFERROR(__xludf.DUMMYFUNCTION("""COMPUTED_VALUE"""),"http://hdl.handle.net/10183/211291")</f>
        <v>http://hdl.handle.net/10183/211291</v>
      </c>
      <c r="I6" s="24" t="str">
        <f>IFERROR(__xludf.DUMMYFUNCTION("""COMPUTED_VALUE"""),"Ciências Agrárias")</f>
        <v>Ciências Agrárias</v>
      </c>
    </row>
    <row r="7">
      <c r="A7" s="24" t="str">
        <f>IFERROR(__xludf.DUMMYFUNCTION("""COMPUTED_VALUE"""),"A modernização da agricultura")</f>
        <v>A modernização da agricultura</v>
      </c>
      <c r="B7" s="24" t="str">
        <f>IFERROR(__xludf.DUMMYFUNCTION("""COMPUTED_VALUE"""),"Almeida, Jalcione Pereira de ")</f>
        <v>Almeida, Jalcione Pereira de </v>
      </c>
      <c r="C7" s="24" t="str">
        <f>IFERROR(__xludf.DUMMYFUNCTION("""COMPUTED_VALUE"""),"Porto Alegre")</f>
        <v>Porto Alegre</v>
      </c>
      <c r="D7" s="24" t="str">
        <f>IFERROR(__xludf.DUMMYFUNCTION("""COMPUTED_VALUE"""),"UFRGS")</f>
        <v>UFRGS</v>
      </c>
      <c r="E7" s="25">
        <f>IFERROR(__xludf.DUMMYFUNCTION("""COMPUTED_VALUE"""),2010.0)</f>
        <v>2010</v>
      </c>
      <c r="F7" s="24" t="str">
        <f>IFERROR(__xludf.DUMMYFUNCTION("""COMPUTED_VALUE"""),"Agricultura; Desenvolvimento rural; Desenvolvimento sustentável; Sociologia rural")</f>
        <v>Agricultura; Desenvolvimento rural; Desenvolvimento sustentável; Sociologia rural</v>
      </c>
      <c r="G7" s="28" t="str">
        <f>IFERROR(__xludf.DUMMYFUNCTION("""COMPUTED_VALUE"""),"9788538601203")</f>
        <v>9788538601203</v>
      </c>
      <c r="H7" s="27" t="str">
        <f>IFERROR(__xludf.DUMMYFUNCTION("""COMPUTED_VALUE"""),"http://hdl.handle.net/10183/56448")</f>
        <v>http://hdl.handle.net/10183/56448</v>
      </c>
      <c r="I7" s="24" t="str">
        <f>IFERROR(__xludf.DUMMYFUNCTION("""COMPUTED_VALUE"""),"Ciências Agrárias")</f>
        <v>Ciências Agrárias</v>
      </c>
    </row>
    <row r="8">
      <c r="A8" s="24" t="str">
        <f>IFERROR(__xludf.DUMMYFUNCTION("""COMPUTED_VALUE"""),"A modernização da agricultura e da silvicultura paulista (Início do Século xx) — coleção olhares --")</f>
        <v>A modernização da agricultura e da silvicultura paulista (Início do Século xx) — coleção olhares --</v>
      </c>
      <c r="B8" s="24" t="str">
        <f>IFERROR(__xludf.DUMMYFUNCTION("""COMPUTED_VALUE"""),"Mário Roberto Ferraro")</f>
        <v>Mário Roberto Ferraro</v>
      </c>
      <c r="C8" s="24" t="str">
        <f>IFERROR(__xludf.DUMMYFUNCTION("""COMPUTED_VALUE"""),"Anápolis")</f>
        <v>Anápolis</v>
      </c>
      <c r="D8" s="24" t="str">
        <f>IFERROR(__xludf.DUMMYFUNCTION("""COMPUTED_VALUE"""),"UEG")</f>
        <v>UEG</v>
      </c>
      <c r="E8" s="25">
        <f>IFERROR(__xludf.DUMMYFUNCTION("""COMPUTED_VALUE"""),2010.0)</f>
        <v>2010</v>
      </c>
      <c r="F8" s="24" t="str">
        <f>IFERROR(__xludf.DUMMYFUNCTION("""COMPUTED_VALUE"""),"Agricultura - História - São Paulo; Silvicultura - História - São Paulo")</f>
        <v>Agricultura - História - São Paulo; Silvicultura - História - São Paulo</v>
      </c>
      <c r="G8" s="28" t="str">
        <f>IFERROR(__xludf.DUMMYFUNCTION("""COMPUTED_VALUE"""),"9788563192141")</f>
        <v>9788563192141</v>
      </c>
      <c r="H8" s="29" t="str">
        <f>IFERROR(__xludf.DUMMYFUNCTION("""COMPUTED_VALUE"""),"http://cdn.ueg.edu.br/source/editora_ueg/conteudoN/4946/pdf_colecao_olhares/livro10_mario_roberto.pdf")</f>
        <v>http://cdn.ueg.edu.br/source/editora_ueg/conteudoN/4946/pdf_colecao_olhares/livro10_mario_roberto.pdf</v>
      </c>
      <c r="I8" s="24" t="str">
        <f>IFERROR(__xludf.DUMMYFUNCTION("""COMPUTED_VALUE"""),"Ciências Agrárias")</f>
        <v>Ciências Agrárias</v>
      </c>
    </row>
    <row r="9">
      <c r="A9" s="24" t="str">
        <f>IFERROR(__xludf.DUMMYFUNCTION("""COMPUTED_VALUE"""),"A pecuária bovina no processo de ocupação e de-senvolvimento econômico do pantanal sul-mato-grossense (1830 – 1910")</f>
        <v>A pecuária bovina no processo de ocupação e de-senvolvimento econômico do pantanal sul-mato-grossense (1830 – 1910</v>
      </c>
      <c r="B9" s="24" t="str">
        <f>IFERROR(__xludf.DUMMYFUNCTION("""COMPUTED_VALUE"""),"Paulo Marcos Esselin")</f>
        <v>Paulo Marcos Esselin</v>
      </c>
      <c r="C9" s="24" t="str">
        <f>IFERROR(__xludf.DUMMYFUNCTION("""COMPUTED_VALUE"""),"Dourados, MS")</f>
        <v>Dourados, MS</v>
      </c>
      <c r="D9" s="24" t="str">
        <f>IFERROR(__xludf.DUMMYFUNCTION("""COMPUTED_VALUE"""),"Ed. UFGD")</f>
        <v>Ed. UFGD</v>
      </c>
      <c r="E9" s="25">
        <f>IFERROR(__xludf.DUMMYFUNCTION("""COMPUTED_VALUE"""),2011.0)</f>
        <v>2011</v>
      </c>
      <c r="F9" s="24" t="str">
        <f>IFERROR(__xludf.DUMMYFUNCTION("""COMPUTED_VALUE"""),"Bovino – Criação; Pecuária – Mato Grosso; Pecuária – Desenvolvimento; Pecuária no Pantanal")</f>
        <v>Bovino – Criação; Pecuária – Mato Grosso; Pecuária – Desenvolvimento; Pecuária no Pantanal</v>
      </c>
      <c r="G9" s="30" t="str">
        <f>IFERROR(__xludf.DUMMYFUNCTION("""COMPUTED_VALUE"""),"9788581470108")</f>
        <v>9788581470108</v>
      </c>
      <c r="H9" s="29" t="str">
        <f>IFERROR(__xludf.DUMMYFUNCTION("""COMPUTED_VALUE"""),"http://omp.ufgd.edu.br/omp/index.php/livrosabertos/catalog/view/27/42/114-1")</f>
        <v>http://omp.ufgd.edu.br/omp/index.php/livrosabertos/catalog/view/27/42/114-1</v>
      </c>
      <c r="I9" s="24" t="str">
        <f>IFERROR(__xludf.DUMMYFUNCTION("""COMPUTED_VALUE"""),"Ciências Agrárias")</f>
        <v>Ciências Agrárias</v>
      </c>
    </row>
    <row r="10">
      <c r="A10" s="24" t="str">
        <f>IFERROR(__xludf.DUMMYFUNCTION("""COMPUTED_VALUE"""),"A Proposta Catarinense para o Ensino Técnico Agrícola no Brasil – CONEA*")</f>
        <v>A Proposta Catarinense para o Ensino Técnico Agrícola no Brasil – CONEA*</v>
      </c>
      <c r="B10" s="24" t="str">
        <f>IFERROR(__xludf.DUMMYFUNCTION("""COMPUTED_VALUE"""),"Conselho Estadual de Ensino Agrícola no Brasil - CONEA")</f>
        <v>Conselho Estadual de Ensino Agrícola no Brasil - CONEA</v>
      </c>
      <c r="C10" s="24" t="str">
        <f>IFERROR(__xludf.DUMMYFUNCTION("""COMPUTED_VALUE"""),"Blumenau")</f>
        <v>Blumenau</v>
      </c>
      <c r="D10" s="24" t="str">
        <f>IFERROR(__xludf.DUMMYFUNCTION("""COMPUTED_VALUE"""),"Instituto Federal Catarinense")</f>
        <v>Instituto Federal Catarinense</v>
      </c>
      <c r="E10" s="25">
        <f>IFERROR(__xludf.DUMMYFUNCTION("""COMPUTED_VALUE"""),2018.0)</f>
        <v>2018</v>
      </c>
      <c r="F10" s="24" t="str">
        <f>IFERROR(__xludf.DUMMYFUNCTION("""COMPUTED_VALUE"""),"Ensino Agrícola - Brasil. Ensino Técnico - Brasil")</f>
        <v>Ensino Agrícola - Brasil. Ensino Técnico - Brasil</v>
      </c>
      <c r="G10" s="30" t="str">
        <f>IFERROR(__xludf.DUMMYFUNCTION("""COMPUTED_VALUE"""),"9788556440181")</f>
        <v>9788556440181</v>
      </c>
      <c r="H10" s="29" t="str">
        <f>IFERROR(__xludf.DUMMYFUNCTION("""COMPUTED_VALUE"""),"https://editora.ifc.edu.br/2018/11/30/a-proposta-catarinense-para-o-ensino-tecnico-agricola-no-brasil-conea/")</f>
        <v>https://editora.ifc.edu.br/2018/11/30/a-proposta-catarinense-para-o-ensino-tecnico-agricola-no-brasil-conea/</v>
      </c>
      <c r="I10" s="24" t="str">
        <f>IFERROR(__xludf.DUMMYFUNCTION("""COMPUTED_VALUE"""),"Ciências Agrárias")</f>
        <v>Ciências Agrárias</v>
      </c>
    </row>
    <row r="11">
      <c r="A11" s="24" t="str">
        <f>IFERROR(__xludf.DUMMYFUNCTION("""COMPUTED_VALUE"""),"A territorialização do setor agroindustrial canavieiro em Mato Grosso do Su")</f>
        <v>A territorialização do setor agroindustrial canavieiro em Mato Grosso do Su</v>
      </c>
      <c r="B11" s="24" t="str">
        <f>IFERROR(__xludf.DUMMYFUNCTION("""COMPUTED_VALUE"""),"Alex Torres Domingues")</f>
        <v>Alex Torres Domingues</v>
      </c>
      <c r="C11" s="24" t="str">
        <f>IFERROR(__xludf.DUMMYFUNCTION("""COMPUTED_VALUE"""),"Dourados, MS")</f>
        <v>Dourados, MS</v>
      </c>
      <c r="D11" s="24" t="str">
        <f>IFERROR(__xludf.DUMMYFUNCTION("""COMPUTED_VALUE"""),"Ed. UFGD")</f>
        <v>Ed. UFGD</v>
      </c>
      <c r="E11" s="25">
        <f>IFERROR(__xludf.DUMMYFUNCTION("""COMPUTED_VALUE"""),2015.0)</f>
        <v>2015</v>
      </c>
      <c r="F11" s="24" t="str">
        <f>IFERROR(__xludf.DUMMYFUNCTION("""COMPUTED_VALUE"""),"Agronegócio canavieiro; Disputa territorial; Territorialização")</f>
        <v>Agronegócio canavieiro; Disputa territorial; Territorialização</v>
      </c>
      <c r="G11" s="30" t="str">
        <f>IFERROR(__xludf.DUMMYFUNCTION("""COMPUTED_VALUE"""),"9788581471037")</f>
        <v>9788581471037</v>
      </c>
      <c r="H11" s="29" t="str">
        <f>IFERROR(__xludf.DUMMYFUNCTION("""COMPUTED_VALUE"""),"http://omp.ufgd.edu.br/omp/index.php/livrosabertos/catalog/view/245/118/396-1")</f>
        <v>http://omp.ufgd.edu.br/omp/index.php/livrosabertos/catalog/view/245/118/396-1</v>
      </c>
      <c r="I11" s="24" t="str">
        <f>IFERROR(__xludf.DUMMYFUNCTION("""COMPUTED_VALUE"""),"Ciências Agrárias")</f>
        <v>Ciências Agrárias</v>
      </c>
    </row>
    <row r="12">
      <c r="A12" s="24" t="str">
        <f>IFERROR(__xludf.DUMMYFUNCTION("""COMPUTED_VALUE"""),"Acre, Reca... eureka!: o fim do esquivo desenvolvimento regional")</f>
        <v>Acre, Reca... eureka!: o fim do esquivo desenvolvimento regional</v>
      </c>
      <c r="B12" s="24" t="str">
        <f>IFERROR(__xludf.DUMMYFUNCTION("""COMPUTED_VALUE"""),"Fabio Morales Forero")</f>
        <v>Fabio Morales Forero</v>
      </c>
      <c r="C12" s="24" t="str">
        <f>IFERROR(__xludf.DUMMYFUNCTION("""COMPUTED_VALUE"""),"Rio Branco")</f>
        <v>Rio Branco</v>
      </c>
      <c r="D12" s="24" t="str">
        <f>IFERROR(__xludf.DUMMYFUNCTION("""COMPUTED_VALUE"""),"Edufac")</f>
        <v>Edufac</v>
      </c>
      <c r="E12" s="25">
        <f>IFERROR(__xludf.DUMMYFUNCTION("""COMPUTED_VALUE"""),2017.0)</f>
        <v>2017</v>
      </c>
      <c r="F12" s="24" t="str">
        <f>IFERROR(__xludf.DUMMYFUNCTION("""COMPUTED_VALUE"""),"Desenvolvimento regional; Planejamento econômico;Políticas públicas; Economia agrária")</f>
        <v>Desenvolvimento regional; Planejamento econômico;Políticas públicas; Economia agrária</v>
      </c>
      <c r="G12" s="30" t="str">
        <f>IFERROR(__xludf.DUMMYFUNCTION("""COMPUTED_VALUE"""),"9788582360358")</f>
        <v>9788582360358</v>
      </c>
      <c r="H12" s="29" t="str">
        <f>IFERROR(__xludf.DUMMYFUNCTION("""COMPUTED_VALUE"""),"http://www2.ufac.br/editora/livros/acre-reka-eureka.pdf")</f>
        <v>http://www2.ufac.br/editora/livros/acre-reka-eureka.pdf</v>
      </c>
      <c r="I12" s="24" t="str">
        <f>IFERROR(__xludf.DUMMYFUNCTION("""COMPUTED_VALUE"""),"Ciências Agrárias")</f>
        <v>Ciências Agrárias</v>
      </c>
    </row>
    <row r="13">
      <c r="A13" s="24" t="str">
        <f>IFERROR(__xludf.DUMMYFUNCTION("""COMPUTED_VALUE"""),"Agrometeorologia dos cultivos: o fator meteorológico na produção agrícola")</f>
        <v>Agrometeorologia dos cultivos: o fator meteorológico na produção agrícola</v>
      </c>
      <c r="B13" s="24" t="str">
        <f>IFERROR(__xludf.DUMMYFUNCTION("""COMPUTED_VALUE"""),"Monteiro, José Eduardo B. A; Instituto Nacional de Meteorologia")</f>
        <v>Monteiro, José Eduardo B. A; Instituto Nacional de Meteorologia</v>
      </c>
      <c r="C13" s="24" t="str">
        <f>IFERROR(__xludf.DUMMYFUNCTION("""COMPUTED_VALUE"""),"Brasília")</f>
        <v>Brasília</v>
      </c>
      <c r="D13" s="24" t="str">
        <f>IFERROR(__xludf.DUMMYFUNCTION("""COMPUTED_VALUE"""),"MAPA/INMET")</f>
        <v>MAPA/INMET</v>
      </c>
      <c r="E13" s="25">
        <f>IFERROR(__xludf.DUMMYFUNCTION("""COMPUTED_VALUE"""),2009.0)</f>
        <v>2009</v>
      </c>
      <c r="F13" s="24" t="str">
        <f>IFERROR(__xludf.DUMMYFUNCTION("""COMPUTED_VALUE"""),"Agrometeorologia; Fenologia; Agricultura; Meteorologia")</f>
        <v>Agrometeorologia; Fenologia; Agricultura; Meteorologia</v>
      </c>
      <c r="G13" s="30" t="str">
        <f>IFERROR(__xludf.DUMMYFUNCTION("""COMPUTED_VALUE"""),"9788562817007")</f>
        <v>9788562817007</v>
      </c>
      <c r="H13" s="29" t="str">
        <f>IFERROR(__xludf.DUMMYFUNCTION("""COMPUTED_VALUE"""),"http://hdl.handle.net/1884/47918")</f>
        <v>http://hdl.handle.net/1884/47918</v>
      </c>
      <c r="I13" s="24" t="str">
        <f>IFERROR(__xludf.DUMMYFUNCTION("""COMPUTED_VALUE"""),"Ciências Agrárias")</f>
        <v>Ciências Agrárias</v>
      </c>
    </row>
    <row r="14">
      <c r="A14" s="24" t="str">
        <f>IFERROR(__xludf.DUMMYFUNCTION("""COMPUTED_VALUE"""),"Agrotóxicos e agroecologia: enfrentamentos científicos, jurídicos, políticos e socioambientais")</f>
        <v>Agrotóxicos e agroecologia: enfrentamentos científicos, jurídicos, políticos e socioambientais</v>
      </c>
      <c r="B14" s="24" t="str">
        <f>IFERROR(__xludf.DUMMYFUNCTION("""COMPUTED_VALUE"""),"Murilo Mendonça Oliveira de Souza; Cleber Adriano Rodrigues Folgado (org.)")</f>
        <v>Murilo Mendonça Oliveira de Souza; Cleber Adriano Rodrigues Folgado (org.)</v>
      </c>
      <c r="C14" s="24" t="str">
        <f>IFERROR(__xludf.DUMMYFUNCTION("""COMPUTED_VALUE"""),"Anápolis")</f>
        <v>Anápolis</v>
      </c>
      <c r="D14" s="24" t="str">
        <f>IFERROR(__xludf.DUMMYFUNCTION("""COMPUTED_VALUE"""),"UEG")</f>
        <v>UEG</v>
      </c>
      <c r="E14" s="25">
        <f>IFERROR(__xludf.DUMMYFUNCTION("""COMPUTED_VALUE"""),2019.0)</f>
        <v>2019</v>
      </c>
      <c r="F14" s="24" t="str">
        <f>IFERROR(__xludf.DUMMYFUNCTION("""COMPUTED_VALUE"""),"Agroecologia; Agricultura - agrotóxicos; Agrotóxicos; Impactos ambientais; Meio ambiente")</f>
        <v>Agroecologia; Agricultura - agrotóxicos; Agrotóxicos; Impactos ambientais; Meio ambiente</v>
      </c>
      <c r="G14" s="30" t="str">
        <f>IFERROR(__xludf.DUMMYFUNCTION("""COMPUTED_VALUE"""),"9788555820656")</f>
        <v>9788555820656</v>
      </c>
      <c r="H14" s="29" t="str">
        <f>IFERROR(__xludf.DUMMYFUNCTION("""COMPUTED_VALUE"""),"http://cdn.ueg.edu.br/source/editora_ueg/conteudo_compartilhado/11101/ebook_agrotoxicos_agroecologia_2019.pdf")</f>
        <v>http://cdn.ueg.edu.br/source/editora_ueg/conteudo_compartilhado/11101/ebook_agrotoxicos_agroecologia_2019.pdf</v>
      </c>
      <c r="I14" s="24" t="str">
        <f>IFERROR(__xludf.DUMMYFUNCTION("""COMPUTED_VALUE"""),"Ciências Agrárias")</f>
        <v>Ciências Agrárias</v>
      </c>
    </row>
    <row r="15">
      <c r="A15" s="24" t="str">
        <f>IFERROR(__xludf.DUMMYFUNCTION("""COMPUTED_VALUE"""),"Alimentos e alimentação animal")</f>
        <v>Alimentos e alimentação animal</v>
      </c>
      <c r="B15" s="24" t="str">
        <f>IFERROR(__xludf.DUMMYFUNCTION("""COMPUTED_VALUE"""),"Rafael Henrique de Tonissi e Buschinelli de Goes, Luiz Henrique Xavier da Silva, Kennyson Alves de Souza")</f>
        <v>Rafael Henrique de Tonissi e Buschinelli de Goes, Luiz Henrique Xavier da Silva, Kennyson Alves de Souza</v>
      </c>
      <c r="C15" s="24" t="str">
        <f>IFERROR(__xludf.DUMMYFUNCTION("""COMPUTED_VALUE"""),"Dourados, MS")</f>
        <v>Dourados, MS</v>
      </c>
      <c r="D15" s="24" t="str">
        <f>IFERROR(__xludf.DUMMYFUNCTION("""COMPUTED_VALUE"""),"Ed. UFGD")</f>
        <v>Ed. UFGD</v>
      </c>
      <c r="E15" s="25">
        <f>IFERROR(__xludf.DUMMYFUNCTION("""COMPUTED_VALUE"""),2013.0)</f>
        <v>2013</v>
      </c>
      <c r="F15" s="24" t="str">
        <f>IFERROR(__xludf.DUMMYFUNCTION("""COMPUTED_VALUE"""),"Nutrição animal; Alimentação de ruminantes")</f>
        <v>Nutrição animal; Alimentação de ruminantes</v>
      </c>
      <c r="G15" s="30" t="str">
        <f>IFERROR(__xludf.DUMMYFUNCTION("""COMPUTED_VALUE"""),"9788581470672")</f>
        <v>9788581470672</v>
      </c>
      <c r="H15" s="29" t="str">
        <f>IFERROR(__xludf.DUMMYFUNCTION("""COMPUTED_VALUE"""),"http://omp.ufgd.edu.br/omp/index.php/livrosabertos/catalog/view/211/78/325-1")</f>
        <v>http://omp.ufgd.edu.br/omp/index.php/livrosabertos/catalog/view/211/78/325-1</v>
      </c>
      <c r="I15" s="24" t="str">
        <f>IFERROR(__xludf.DUMMYFUNCTION("""COMPUTED_VALUE"""),"Ciências Agrárias")</f>
        <v>Ciências Agrárias</v>
      </c>
    </row>
    <row r="16">
      <c r="A16" s="24" t="str">
        <f>IFERROR(__xludf.DUMMYFUNCTION("""COMPUTED_VALUE"""),"Análise de solo para ciências agrárias")</f>
        <v>Análise de solo para ciências agrárias</v>
      </c>
      <c r="B16" s="24" t="str">
        <f>IFERROR(__xludf.DUMMYFUNCTION("""COMPUTED_VALUE"""),"SÉRGIO BRAZÃO E SILVA")</f>
        <v>SÉRGIO BRAZÃO E SILVA</v>
      </c>
      <c r="C16" s="24" t="str">
        <f>IFERROR(__xludf.DUMMYFUNCTION("""COMPUTED_VALUE"""),"Belém")</f>
        <v>Belém</v>
      </c>
      <c r="D16" s="24" t="str">
        <f>IFERROR(__xludf.DUMMYFUNCTION("""COMPUTED_VALUE"""),"Edufra")</f>
        <v>Edufra</v>
      </c>
      <c r="E16" s="25">
        <f>IFERROR(__xludf.DUMMYFUNCTION("""COMPUTED_VALUE"""),2018.0)</f>
        <v>2018</v>
      </c>
      <c r="F16" s="24" t="str">
        <f>IFERROR(__xludf.DUMMYFUNCTION("""COMPUTED_VALUE"""),"Solos - análise química; Solos - análise física; Solos - análise - interpretação; Solos - amostragem; Solo - adubação")</f>
        <v>Solos - análise química; Solos - análise física; Solos - análise - interpretação; Solos - amostragem; Solo - adubação</v>
      </c>
      <c r="G16" s="30" t="str">
        <f>IFERROR(__xludf.DUMMYFUNCTION("""COMPUTED_VALUE"""),"9788572951326")</f>
        <v>9788572951326</v>
      </c>
      <c r="H16" s="29" t="str">
        <f>IFERROR(__xludf.DUMMYFUNCTION("""COMPUTED_VALUE"""),"https://portaleditora.ufra.edu.br/images/Analise-de-Solos.pdf")</f>
        <v>https://portaleditora.ufra.edu.br/images/Analise-de-Solos.pdf</v>
      </c>
      <c r="I16" s="24" t="str">
        <f>IFERROR(__xludf.DUMMYFUNCTION("""COMPUTED_VALUE"""),"Ciências Agrárias")</f>
        <v>Ciências Agrárias</v>
      </c>
    </row>
    <row r="17">
      <c r="A17" s="24" t="str">
        <f>IFERROR(__xludf.DUMMYFUNCTION("""COMPUTED_VALUE"""),"Araucária não é peça de museu")</f>
        <v>Araucária não é peça de museu</v>
      </c>
      <c r="B17" s="24" t="str">
        <f>IFERROR(__xludf.DUMMYFUNCTION("""COMPUTED_VALUE"""),"Zanette, Flávio")</f>
        <v>Zanette, Flávio</v>
      </c>
      <c r="C17" s="24" t="str">
        <f>IFERROR(__xludf.DUMMYFUNCTION("""COMPUTED_VALUE"""),"Curitiba")</f>
        <v>Curitiba</v>
      </c>
      <c r="D17" s="24" t="str">
        <f>IFERROR(__xludf.DUMMYFUNCTION("""COMPUTED_VALUE"""),"UFPR")</f>
        <v>UFPR</v>
      </c>
      <c r="E17" s="25">
        <f>IFERROR(__xludf.DUMMYFUNCTION("""COMPUTED_VALUE"""),2016.0)</f>
        <v>2016</v>
      </c>
      <c r="F17" s="24" t="str">
        <f>IFERROR(__xludf.DUMMYFUNCTION("""COMPUTED_VALUE"""),"Pinheiro do Paraná; Florestas; Conservação")</f>
        <v>Pinheiro do Paraná; Florestas; Conservação</v>
      </c>
      <c r="G17" s="30" t="str">
        <f>IFERROR(__xludf.DUMMYFUNCTION("""COMPUTED_VALUE"""),"9788584800605")</f>
        <v>9788584800605</v>
      </c>
      <c r="H17" s="29" t="str">
        <f>IFERROR(__xludf.DUMMYFUNCTION("""COMPUTED_VALUE"""),"https://hdl.handle.net/1884/63928")</f>
        <v>https://hdl.handle.net/1884/63928</v>
      </c>
      <c r="I17" s="24" t="str">
        <f>IFERROR(__xludf.DUMMYFUNCTION("""COMPUTED_VALUE"""),"Ciências Agrárias")</f>
        <v>Ciências Agrárias</v>
      </c>
    </row>
    <row r="18">
      <c r="A18" s="24" t="str">
        <f>IFERROR(__xludf.DUMMYFUNCTION("""COMPUTED_VALUE"""),"Armazenamento, Proteção de Grãos e Controle Orgânico em Pequenas Propriedades")</f>
        <v>Armazenamento, Proteção de Grãos e Controle Orgânico em Pequenas Propriedades</v>
      </c>
      <c r="B18" s="24" t="str">
        <f>IFERROR(__xludf.DUMMYFUNCTION("""COMPUTED_VALUE"""),"Altevir Lobato de Melo; Sérgio Brazão e Silva; José Albuquerque")</f>
        <v>Altevir Lobato de Melo; Sérgio Brazão e Silva; José Albuquerque</v>
      </c>
      <c r="C18" s="24" t="str">
        <f>IFERROR(__xludf.DUMMYFUNCTION("""COMPUTED_VALUE"""),"Belém")</f>
        <v>Belém</v>
      </c>
      <c r="D18" s="24" t="str">
        <f>IFERROR(__xludf.DUMMYFUNCTION("""COMPUTED_VALUE"""),"Edufra")</f>
        <v>Edufra</v>
      </c>
      <c r="E18" s="25">
        <f>IFERROR(__xludf.DUMMYFUNCTION("""COMPUTED_VALUE"""),2018.0)</f>
        <v>2018</v>
      </c>
      <c r="F18" s="24" t="str">
        <f>IFERROR(__xludf.DUMMYFUNCTION("""COMPUTED_VALUE"""),"Proteção de Grãos – controle orgânico de insetos e roedores; Defensivos naturais")</f>
        <v>Proteção de Grãos – controle orgânico de insetos e roedores; Defensivos naturais</v>
      </c>
      <c r="G18" s="30" t="str">
        <f>IFERROR(__xludf.DUMMYFUNCTION("""COMPUTED_VALUE"""),"9788572951319")</f>
        <v>9788572951319</v>
      </c>
      <c r="H18" s="29" t="str">
        <f>IFERROR(__xludf.DUMMYFUNCTION("""COMPUTED_VALUE"""),"https://portaleditora.ufra.edu.br/images/OK_ufra_ARMAGENAMENTO-12.pdf")</f>
        <v>https://portaleditora.ufra.edu.br/images/OK_ufra_ARMAGENAMENTO-12.pdf</v>
      </c>
      <c r="I18" s="24" t="str">
        <f>IFERROR(__xludf.DUMMYFUNCTION("""COMPUTED_VALUE"""),"Ciências Agrárias")</f>
        <v>Ciências Agrárias</v>
      </c>
    </row>
    <row r="19">
      <c r="A19" s="24" t="str">
        <f>IFERROR(__xludf.DUMMYFUNCTION("""COMPUTED_VALUE"""),"As fazendas de gado dos jesuítas na Paraíba colonial")</f>
        <v>As fazendas de gado dos jesuítas na Paraíba colonial</v>
      </c>
      <c r="B19" s="24" t="str">
        <f>IFERROR(__xludf.DUMMYFUNCTION("""COMPUTED_VALUE"""),"Juvandi de Souza Santos")</f>
        <v>Juvandi de Souza Santos</v>
      </c>
      <c r="C19" s="24" t="str">
        <f>IFERROR(__xludf.DUMMYFUNCTION("""COMPUTED_VALUE"""),"Campina Grande")</f>
        <v>Campina Grande</v>
      </c>
      <c r="D19" s="24" t="str">
        <f>IFERROR(__xludf.DUMMYFUNCTION("""COMPUTED_VALUE"""),"EDUEPB")</f>
        <v>EDUEPB</v>
      </c>
      <c r="E19" s="25">
        <f>IFERROR(__xludf.DUMMYFUNCTION("""COMPUTED_VALUE"""),2015.0)</f>
        <v>2015</v>
      </c>
      <c r="F19" s="24" t="str">
        <f>IFERROR(__xludf.DUMMYFUNCTION("""COMPUTED_VALUE"""),"Jesuítas. Arqueologia histórica e Paraíba; colonial")</f>
        <v>Jesuítas. Arqueologia histórica e Paraíba; colonial</v>
      </c>
      <c r="G19" s="30" t="str">
        <f>IFERROR(__xludf.DUMMYFUNCTION("""COMPUTED_VALUE"""),"9788591240487")</f>
        <v>9788591240487</v>
      </c>
      <c r="H19" s="29" t="str">
        <f>IFERROR(__xludf.DUMMYFUNCTION("""COMPUTED_VALUE"""),"http://eduepb.uepb.edu.br/download/as-fazendas-de-gado-dos-jesuitas-na-paraiba-colonial/?wpdmdl=162&amp;amp;masterkey=5af9965007c0a")</f>
        <v>http://eduepb.uepb.edu.br/download/as-fazendas-de-gado-dos-jesuitas-na-paraiba-colonial/?wpdmdl=162&amp;amp;masterkey=5af9965007c0a</v>
      </c>
      <c r="I19" s="24" t="str">
        <f>IFERROR(__xludf.DUMMYFUNCTION("""COMPUTED_VALUE"""),"Ciências Agrárias")</f>
        <v>Ciências Agrárias</v>
      </c>
    </row>
    <row r="20">
      <c r="A20" s="24" t="str">
        <f>IFERROR(__xludf.DUMMYFUNCTION("""COMPUTED_VALUE"""),"As novas ordens alimentares")</f>
        <v>As novas ordens alimentares</v>
      </c>
      <c r="B20" s="24" t="str">
        <f>IFERROR(__xludf.DUMMYFUNCTION("""COMPUTED_VALUE"""),"Niederle, Paulo André; Wesz Junior, Waldemar João ")</f>
        <v>Niederle, Paulo André; Wesz Junior, Waldemar João </v>
      </c>
      <c r="C20" s="24" t="str">
        <f>IFERROR(__xludf.DUMMYFUNCTION("""COMPUTED_VALUE"""),"Porto Alegre")</f>
        <v>Porto Alegre</v>
      </c>
      <c r="D20" s="24" t="str">
        <f>IFERROR(__xludf.DUMMYFUNCTION("""COMPUTED_VALUE"""),"UFRGS")</f>
        <v>UFRGS</v>
      </c>
      <c r="E20" s="25">
        <f>IFERROR(__xludf.DUMMYFUNCTION("""COMPUTED_VALUE"""),2018.0)</f>
        <v>2018</v>
      </c>
      <c r="F20" s="24" t="str">
        <f>IFERROR(__xludf.DUMMYFUNCTION("""COMPUTED_VALUE"""),"Agricultura familiar; Agroindústria familiar; Agronegócios; Desenvolvimento rural; Sistema agroalimentar")</f>
        <v>Agricultura familiar; Agroindústria familiar; Agronegócios; Desenvolvimento rural; Sistema agroalimentar</v>
      </c>
      <c r="G20" s="30" t="str">
        <f>IFERROR(__xludf.DUMMYFUNCTION("""COMPUTED_VALUE"""),"9788538604495")</f>
        <v>9788538604495</v>
      </c>
      <c r="H20" s="29" t="str">
        <f>IFERROR(__xludf.DUMMYFUNCTION("""COMPUTED_VALUE"""),"http://hdl.handle.net/10183/213226")</f>
        <v>http://hdl.handle.net/10183/213226</v>
      </c>
      <c r="I20" s="24" t="str">
        <f>IFERROR(__xludf.DUMMYFUNCTION("""COMPUTED_VALUE"""),"Ciências Agrárias")</f>
        <v>Ciências Agrárias</v>
      </c>
    </row>
    <row r="21">
      <c r="A21" s="24" t="str">
        <f>IFERROR(__xludf.DUMMYFUNCTION("""COMPUTED_VALUE"""),"Biojoias, biodiversidade e redes de sustentabilidade na Amazônia: o caso da Cooperativa Açaí, de Rondônia")</f>
        <v>Biojoias, biodiversidade e redes de sustentabilidade na Amazônia: o caso da Cooperativa Açaí, de Rondônia</v>
      </c>
      <c r="B21" s="24" t="str">
        <f>IFERROR(__xludf.DUMMYFUNCTION("""COMPUTED_VALUE"""),"Schierholt, Anelise Fabiana Paiva; Romero, Fanny Longa ")</f>
        <v>Schierholt, Anelise Fabiana Paiva; Romero, Fanny Longa </v>
      </c>
      <c r="C21" s="24" t="str">
        <f>IFERROR(__xludf.DUMMYFUNCTION("""COMPUTED_VALUE"""),"Porto Alegre")</f>
        <v>Porto Alegre</v>
      </c>
      <c r="D21" s="24" t="str">
        <f>IFERROR(__xludf.DUMMYFUNCTION("""COMPUTED_VALUE"""),"UFRGS")</f>
        <v>UFRGS</v>
      </c>
      <c r="E21" s="25">
        <f>IFERROR(__xludf.DUMMYFUNCTION("""COMPUTED_VALUE"""),2020.0)</f>
        <v>2020</v>
      </c>
      <c r="F21" s="24" t="str">
        <f>IFERROR(__xludf.DUMMYFUNCTION("""COMPUTED_VALUE"""),"Associativismo; Cooperativismo; Desenvolvimento sustentável; Memória social; Sustentabilidade")</f>
        <v>Associativismo; Cooperativismo; Desenvolvimento sustentável; Memória social; Sustentabilidade</v>
      </c>
      <c r="G21" s="30" t="str">
        <f>IFERROR(__xludf.DUMMYFUNCTION("""COMPUTED_VALUE"""),"9786557250150")</f>
        <v>9786557250150</v>
      </c>
      <c r="H21" s="29" t="str">
        <f>IFERROR(__xludf.DUMMYFUNCTION("""COMPUTED_VALUE"""),"http://hdl.handle.net/10183/213231")</f>
        <v>http://hdl.handle.net/10183/213231</v>
      </c>
      <c r="I21" s="24" t="str">
        <f>IFERROR(__xludf.DUMMYFUNCTION("""COMPUTED_VALUE"""),"Ciências Agrárias")</f>
        <v>Ciências Agrárias</v>
      </c>
    </row>
    <row r="22">
      <c r="A22" s="24" t="str">
        <f>IFERROR(__xludf.DUMMYFUNCTION("""COMPUTED_VALUE"""),"Boas práticas na colheita e no beneficiamento do mel de abelhas apis")</f>
        <v>Boas práticas na colheita e no beneficiamento do mel de abelhas apis</v>
      </c>
      <c r="B22" s="24" t="str">
        <f>IFERROR(__xludf.DUMMYFUNCTION("""COMPUTED_VALUE"""),"Wilza da Silveira Pinto; Luis Felipe Azevedo de Souza")</f>
        <v>Wilza da Silveira Pinto; Luis Felipe Azevedo de Souza</v>
      </c>
      <c r="C22" s="24" t="str">
        <f>IFERROR(__xludf.DUMMYFUNCTION("""COMPUTED_VALUE"""),"Belém")</f>
        <v>Belém</v>
      </c>
      <c r="D22" s="24" t="str">
        <f>IFERROR(__xludf.DUMMYFUNCTION("""COMPUTED_VALUE"""),"Edufra")</f>
        <v>Edufra</v>
      </c>
      <c r="E22" s="25">
        <f>IFERROR(__xludf.DUMMYFUNCTION("""COMPUTED_VALUE"""),2018.0)</f>
        <v>2018</v>
      </c>
      <c r="F22" s="24" t="str">
        <f>IFERROR(__xludf.DUMMYFUNCTION("""COMPUTED_VALUE"""),"Mel de abelhas - colheita; Mel de abelhas - beneficiamento")</f>
        <v>Mel de abelhas - colheita; Mel de abelhas - beneficiamento</v>
      </c>
      <c r="G22" s="30" t="str">
        <f>IFERROR(__xludf.DUMMYFUNCTION("""COMPUTED_VALUE"""),"9788572951333")</f>
        <v>9788572951333</v>
      </c>
      <c r="H22" s="29" t="str">
        <f>IFERROR(__xludf.DUMMYFUNCTION("""COMPUTED_VALUE"""),"https://portaleditora.ufra.edu.br/images/PROVA-APROVADA-PARA-IMPRESSO--CARTILHA-BOAS-PRATICAS-04-04-baixa.pdf")</f>
        <v>https://portaleditora.ufra.edu.br/images/PROVA-APROVADA-PARA-IMPRESSO--CARTILHA-BOAS-PRATICAS-04-04-baixa.pdf</v>
      </c>
      <c r="I22" s="24" t="str">
        <f>IFERROR(__xludf.DUMMYFUNCTION("""COMPUTED_VALUE"""),"Ciências Agrárias")</f>
        <v>Ciências Agrárias</v>
      </c>
    </row>
    <row r="23">
      <c r="A23" s="24" t="str">
        <f>IFERROR(__xludf.DUMMYFUNCTION("""COMPUTED_VALUE"""),"Boletim de diagnóstico do laboratório de patologia veterinária : IFC – 2016*")</f>
        <v>Boletim de diagnóstico do laboratório de patologia veterinária : IFC – 2016*</v>
      </c>
      <c r="B23" s="24" t="str">
        <f>IFERROR(__xludf.DUMMYFUNCTION("""COMPUTED_VALUE"""),"Ricardo Evandro Mendes, Renata Assis Casagrande, Leandro Anderson Rhoden.")</f>
        <v>Ricardo Evandro Mendes, Renata Assis Casagrande, Leandro Anderson Rhoden.</v>
      </c>
      <c r="C23" s="24" t="str">
        <f>IFERROR(__xludf.DUMMYFUNCTION("""COMPUTED_VALUE"""),"Blumenau")</f>
        <v>Blumenau</v>
      </c>
      <c r="D23" s="24" t="str">
        <f>IFERROR(__xludf.DUMMYFUNCTION("""COMPUTED_VALUE"""),"Instituto Federal Catarinense")</f>
        <v>Instituto Federal Catarinense</v>
      </c>
      <c r="E23" s="25">
        <f>IFERROR(__xludf.DUMMYFUNCTION("""COMPUTED_VALUE"""),2016.0)</f>
        <v>2016</v>
      </c>
      <c r="F23" s="24" t="str">
        <f>IFERROR(__xludf.DUMMYFUNCTION("""COMPUTED_VALUE"""),"Periódico. Diagnóstico de laboratório. Patologia veterinária. Veterinária - diagnóstico. Medicina veterinária – Diagnóstico")</f>
        <v>Periódico. Diagnóstico de laboratório. Patologia veterinária. Veterinária - diagnóstico. Medicina veterinária – Diagnóstico</v>
      </c>
      <c r="G23" s="31"/>
      <c r="H23" s="29" t="str">
        <f>IFERROR(__xludf.DUMMYFUNCTION("""COMPUTED_VALUE"""),"https://editora.ifc.edu.br/2017/03/20/boletim-de-diagnostico-do-laboratorio-de-patologia-veterinaria-ifc-2016/")</f>
        <v>https://editora.ifc.edu.br/2017/03/20/boletim-de-diagnostico-do-laboratorio-de-patologia-veterinaria-ifc-2016/</v>
      </c>
      <c r="I23" s="24" t="str">
        <f>IFERROR(__xludf.DUMMYFUNCTION("""COMPUTED_VALUE"""),"Ciências Agrárias")</f>
        <v>Ciências Agrárias</v>
      </c>
    </row>
    <row r="24">
      <c r="A24" s="24" t="str">
        <f>IFERROR(__xludf.DUMMYFUNCTION("""COMPUTED_VALUE"""),"Cacau e graviola: descrição e danos das principais pragas-de-insetos")</f>
        <v>Cacau e graviola: descrição e danos das principais pragas-de-insetos</v>
      </c>
      <c r="B24" s="24" t="str">
        <f>IFERROR(__xludf.DUMMYFUNCTION("""COMPUTED_VALUE"""),"Saúl E. M. Sánchez")</f>
        <v>Saúl E. M. Sánchez</v>
      </c>
      <c r="C24" s="24" t="str">
        <f>IFERROR(__xludf.DUMMYFUNCTION("""COMPUTED_VALUE"""),"Ilhéus, BA")</f>
        <v>Ilhéus, BA</v>
      </c>
      <c r="D24" s="24" t="str">
        <f>IFERROR(__xludf.DUMMYFUNCTION("""COMPUTED_VALUE"""),"Editus")</f>
        <v>Editus</v>
      </c>
      <c r="E24" s="25">
        <f>IFERROR(__xludf.DUMMYFUNCTION("""COMPUTED_VALUE"""),2011.0)</f>
        <v>2011</v>
      </c>
      <c r="F24" s="24" t="str">
        <f>IFERROR(__xludf.DUMMYFUNCTION("""COMPUTED_VALUE"""),"Cacau – Cultivo; Cacau – Pragas-de-insetos; Gra-; viola – Cultivo; Graviola – Pragas-de-insetos")</f>
        <v>Cacau – Cultivo; Cacau – Pragas-de-insetos; Gra-; viola – Cultivo; Graviola – Pragas-de-insetos</v>
      </c>
      <c r="G24" s="30" t="str">
        <f>IFERROR(__xludf.DUMMYFUNCTION("""COMPUTED_VALUE"""),"9788574552347")</f>
        <v>9788574552347</v>
      </c>
      <c r="H24" s="29" t="str">
        <f>IFERROR(__xludf.DUMMYFUNCTION("""COMPUTED_VALUE"""),"http://www.uesc.br/editora/livrosdigitais_20141023/cacaugraviola.pdf")</f>
        <v>http://www.uesc.br/editora/livrosdigitais_20141023/cacaugraviola.pdf</v>
      </c>
      <c r="I24" s="24" t="str">
        <f>IFERROR(__xludf.DUMMYFUNCTION("""COMPUTED_VALUE"""),"Ciências Agrárias")</f>
        <v>Ciências Agrárias</v>
      </c>
    </row>
    <row r="25">
      <c r="A25" s="24" t="str">
        <f>IFERROR(__xludf.DUMMYFUNCTION("""COMPUTED_VALUE"""),"Cacau, riqueza de pobres ")</f>
        <v>Cacau, riqueza de pobres </v>
      </c>
      <c r="B25" s="24" t="str">
        <f>IFERROR(__xludf.DUMMYFUNCTION("""COMPUTED_VALUE"""),"Francisco Mendes Costa, Naisy Silva Soares (org.)")</f>
        <v>Francisco Mendes Costa, Naisy Silva Soares (org.)</v>
      </c>
      <c r="C25" s="24" t="str">
        <f>IFERROR(__xludf.DUMMYFUNCTION("""COMPUTED_VALUE"""),"Ilhéus, BA")</f>
        <v>Ilhéus, BA</v>
      </c>
      <c r="D25" s="24" t="str">
        <f>IFERROR(__xludf.DUMMYFUNCTION("""COMPUTED_VALUE"""),"Editus")</f>
        <v>Editus</v>
      </c>
      <c r="E25" s="25">
        <f>IFERROR(__xludf.DUMMYFUNCTION("""COMPUTED_VALUE"""),2016.0)</f>
        <v>2016</v>
      </c>
      <c r="F25" s="24" t="str">
        <f>IFERROR(__xludf.DUMMYFUNCTION("""COMPUTED_VALUE"""),"Cacau – Aspectos econômicos; Cacau – Preços; Cacau – Comércio – Brasil; Cacau – Brasil – Exportação")</f>
        <v>Cacau – Aspectos econômicos; Cacau – Preços; Cacau – Comércio – Brasil; Cacau – Brasil – Exportação</v>
      </c>
      <c r="G25" s="30" t="str">
        <f>IFERROR(__xludf.DUMMYFUNCTION("""COMPUTED_VALUE"""),"9788574554013")</f>
        <v>9788574554013</v>
      </c>
      <c r="H25" s="29" t="str">
        <f>IFERROR(__xludf.DUMMYFUNCTION("""COMPUTED_VALUE"""),"http://www.uesc.br/editora/livrosdigitais2016/cacau_riqueza_pobres.pdf")</f>
        <v>http://www.uesc.br/editora/livrosdigitais2016/cacau_riqueza_pobres.pdf</v>
      </c>
      <c r="I25" s="24" t="str">
        <f>IFERROR(__xludf.DUMMYFUNCTION("""COMPUTED_VALUE"""),"Ciências Agrárias")</f>
        <v>Ciências Agrárias</v>
      </c>
    </row>
    <row r="26">
      <c r="A26" s="24" t="str">
        <f>IFERROR(__xludf.DUMMYFUNCTION("""COMPUTED_VALUE"""),"Cacauicultura: estrutura produtiva, mercados e perspectivas")</f>
        <v>Cacauicultura: estrutura produtiva, mercados e perspectivas</v>
      </c>
      <c r="B26" s="24" t="str">
        <f>IFERROR(__xludf.DUMMYFUNCTION("""COMPUTED_VALUE"""),"organizadoras: Andréa da Silva Gomes, Mônica de; Moura Pires. ")</f>
        <v>organizadoras: Andréa da Silva Gomes, Mônica de; Moura Pires. </v>
      </c>
      <c r="C26" s="24" t="str">
        <f>IFERROR(__xludf.DUMMYFUNCTION("""COMPUTED_VALUE"""),"Ilhéus, BA")</f>
        <v>Ilhéus, BA</v>
      </c>
      <c r="D26" s="24" t="str">
        <f>IFERROR(__xludf.DUMMYFUNCTION("""COMPUTED_VALUE"""),"Editus")</f>
        <v>Editus</v>
      </c>
      <c r="E26" s="25">
        <f>IFERROR(__xludf.DUMMYFUNCTION("""COMPUTED_VALUE"""),2015.0)</f>
        <v>2015</v>
      </c>
      <c r="F26" s="24" t="str">
        <f>IFERROR(__xludf.DUMMYFUNCTION("""COMPUTED_VALUE"""),"Cacau – Aspectos econômicos – Bahia; Cacau –; Produção – Aspectos econômicos; Cacaueiro – Cultivo")</f>
        <v>Cacau – Aspectos econômicos – Bahia; Cacau –; Produção – Aspectos econômicos; Cacaueiro – Cultivo</v>
      </c>
      <c r="G26" s="30" t="str">
        <f>IFERROR(__xludf.DUMMYFUNCTION("""COMPUTED_VALUE"""),"9788574553542")</f>
        <v>9788574553542</v>
      </c>
      <c r="H26" s="29" t="str">
        <f>IFERROR(__xludf.DUMMYFUNCTION("""COMPUTED_VALUE"""),"http://www.uesc.br/editora/livrosdigitais2018/cacauicultura.pdf")</f>
        <v>http://www.uesc.br/editora/livrosdigitais2018/cacauicultura.pdf</v>
      </c>
      <c r="I26" s="24" t="str">
        <f>IFERROR(__xludf.DUMMYFUNCTION("""COMPUTED_VALUE"""),"Ciências Agrárias")</f>
        <v>Ciências Agrárias</v>
      </c>
    </row>
    <row r="27">
      <c r="A27" s="24" t="str">
        <f>IFERROR(__xludf.DUMMYFUNCTION("""COMPUTED_VALUE"""),"Carne e derivados: parâmetros e metodologias para o controle de qualidade ")</f>
        <v>Carne e derivados: parâmetros e metodologias para o controle de qualidade </v>
      </c>
      <c r="B27" s="24" t="str">
        <f>IFERROR(__xludf.DUMMYFUNCTION("""COMPUTED_VALUE"""),"Vitória Nazaré Costa Seixas")</f>
        <v>Vitória Nazaré Costa Seixas</v>
      </c>
      <c r="C27" s="24" t="str">
        <f>IFERROR(__xludf.DUMMYFUNCTION("""COMPUTED_VALUE"""),"Belém")</f>
        <v>Belém</v>
      </c>
      <c r="D27" s="24" t="str">
        <f>IFERROR(__xludf.DUMMYFUNCTION("""COMPUTED_VALUE"""),"UEPA")</f>
        <v>UEPA</v>
      </c>
      <c r="E27" s="25">
        <f>IFERROR(__xludf.DUMMYFUNCTION("""COMPUTED_VALUE"""),2018.0)</f>
        <v>2018</v>
      </c>
      <c r="F27" s="24" t="str">
        <f>IFERROR(__xludf.DUMMYFUNCTION("""COMPUTED_VALUE"""),"Carne - qualidade; Controle de qualidde")</f>
        <v>Carne - qualidade; Controle de qualidde</v>
      </c>
      <c r="G27" s="28" t="str">
        <f>IFERROR(__xludf.DUMMYFUNCTION("""COMPUTED_VALUE"""),"9788584580361")</f>
        <v>9788584580361</v>
      </c>
      <c r="H27" s="32" t="str">
        <f>IFERROR(__xludf.DUMMYFUNCTION("""COMPUTED_VALUE"""),"https://paginas.uepa.br/eduepa/wp-content/uploads/2019/06/CARNES-E-DERIVADOS-par%C3%A2metros-e-metodologias-para-o-controle-de-qualidade.pdf")</f>
        <v>https://paginas.uepa.br/eduepa/wp-content/uploads/2019/06/CARNES-E-DERIVADOS-par%C3%A2metros-e-metodologias-para-o-controle-de-qualidade.pdf</v>
      </c>
      <c r="I27" s="24" t="str">
        <f>IFERROR(__xludf.DUMMYFUNCTION("""COMPUTED_VALUE"""),"Ciências Agrárias")</f>
        <v>Ciências Agrárias</v>
      </c>
    </row>
    <row r="28">
      <c r="A28" s="24" t="str">
        <f>IFERROR(__xludf.DUMMYFUNCTION("""COMPUTED_VALUE"""),"Cartilha forrageiras de interesse zootécnico: características produtivas e manejo")</f>
        <v>Cartilha forrageiras de interesse zootécnico: características produtivas e manejo</v>
      </c>
      <c r="B28" s="24" t="str">
        <f>IFERROR(__xludf.DUMMYFUNCTION("""COMPUTED_VALUE"""),"Editores; Elisa Mauro Gomes; Marice Cristine Vendruscolo; Alice Casagrande Francisco; Wanessa Laryssa Souza Barros")</f>
        <v>Editores; Elisa Mauro Gomes; Marice Cristine Vendruscolo; Alice Casagrande Francisco; Wanessa Laryssa Souza Barros</v>
      </c>
      <c r="C28" s="24" t="str">
        <f>IFERROR(__xludf.DUMMYFUNCTION("""COMPUTED_VALUE"""),"Tangará da Serra")</f>
        <v>Tangará da Serra</v>
      </c>
      <c r="D28" s="24" t="str">
        <f>IFERROR(__xludf.DUMMYFUNCTION("""COMPUTED_VALUE"""),"UNEMAT")</f>
        <v>UNEMAT</v>
      </c>
      <c r="E28" s="25">
        <f>IFERROR(__xludf.DUMMYFUNCTION("""COMPUTED_VALUE"""),2019.0)</f>
        <v>2019</v>
      </c>
      <c r="F28" s="24" t="str">
        <f>IFERROR(__xludf.DUMMYFUNCTION("""COMPUTED_VALUE"""),"Forrageiras; Gramíneas; Leguminosas; Produção animal; Interesse zootécnico")</f>
        <v>Forrageiras; Gramíneas; Leguminosas; Produção animal; Interesse zootécnico</v>
      </c>
      <c r="G28" s="30" t="str">
        <f>IFERROR(__xludf.DUMMYFUNCTION("""COMPUTED_VALUE"""),"9788579112072")</f>
        <v>9788579112072</v>
      </c>
      <c r="H28" s="29" t="str">
        <f>IFERROR(__xludf.DUMMYFUNCTION("""COMPUTED_VALUE"""),"http://portal.unemat.br/media/files/Editora/Cartilha%20Forrageiras%20de%20Interesse%20Zoot%C3%A9cnico_VF%20(1).pdf")</f>
        <v>http://portal.unemat.br/media/files/Editora/Cartilha%20Forrageiras%20de%20Interesse%20Zoot%C3%A9cnico_VF%20(1).pdf</v>
      </c>
      <c r="I28" s="24" t="str">
        <f>IFERROR(__xludf.DUMMYFUNCTION("""COMPUTED_VALUE"""),"Ciências Agrárias")</f>
        <v>Ciências Agrárias</v>
      </c>
    </row>
    <row r="29">
      <c r="A29" s="24" t="str">
        <f>IFERROR(__xludf.DUMMYFUNCTION("""COMPUTED_VALUE"""),"Catálogo de artigos de educação em solos no Brasil")</f>
        <v>Catálogo de artigos de educação em solos no Brasil</v>
      </c>
      <c r="B29" s="24" t="str">
        <f>IFERROR(__xludf.DUMMYFUNCTION("""COMPUTED_VALUE"""),"Lima, Marcelo Ricardo de; Knopki, Anna Vitória Gurgel; Pires, Kemelyn Hack; Staben, Luane Aparecida; Araújo, Mareza Fernandes de; Sant'ana Sara de Paula; Universidade Federal do Paraná. Programa de Extensão Universitária Solo na Escola")</f>
        <v>Lima, Marcelo Ricardo de; Knopki, Anna Vitória Gurgel; Pires, Kemelyn Hack; Staben, Luane Aparecida; Araújo, Mareza Fernandes de; Sant'ana Sara de Paula; Universidade Federal do Paraná. Programa de Extensão Universitária Solo na Escola</v>
      </c>
      <c r="C29" s="24" t="str">
        <f>IFERROR(__xludf.DUMMYFUNCTION("""COMPUTED_VALUE"""),"Curitiba")</f>
        <v>Curitiba</v>
      </c>
      <c r="D29" s="24" t="str">
        <f>IFERROR(__xludf.DUMMYFUNCTION("""COMPUTED_VALUE"""),"UFPR - Programa de Extensão Universitária Solo na Escola")</f>
        <v>UFPR - Programa de Extensão Universitária Solo na Escola</v>
      </c>
      <c r="E29" s="25">
        <f>IFERROR(__xludf.DUMMYFUNCTION("""COMPUTED_VALUE"""),2020.0)</f>
        <v>2020</v>
      </c>
      <c r="F29" s="24" t="str">
        <f>IFERROR(__xludf.DUMMYFUNCTION("""COMPUTED_VALUE"""),"Periódicos - Catálogos; Solos - Estudo e ensino")</f>
        <v>Periódicos - Catálogos; Solos - Estudo e ensino</v>
      </c>
      <c r="G29" s="30" t="str">
        <f>IFERROR(__xludf.DUMMYFUNCTION("""COMPUTED_VALUE"""),"9786586233100")</f>
        <v>9786586233100</v>
      </c>
      <c r="H29" s="29" t="str">
        <f>IFERROR(__xludf.DUMMYFUNCTION("""COMPUTED_VALUE"""),"https://hdl.handle.net/1884/67902")</f>
        <v>https://hdl.handle.net/1884/67902</v>
      </c>
      <c r="I29" s="24" t="str">
        <f>IFERROR(__xludf.DUMMYFUNCTION("""COMPUTED_VALUE"""),"Ciências Agrárias")</f>
        <v>Ciências Agrárias</v>
      </c>
    </row>
    <row r="30">
      <c r="A30" s="24" t="str">
        <f>IFERROR(__xludf.DUMMYFUNCTION("""COMPUTED_VALUE"""),"Coletânea a Conferência da Terra: línguas, ritos e protagonismos nos territórios indígenas: planejamento ambiental, recursos hídricos e patrimônio cultural (Tomo III) ")</f>
        <v>Coletânea a Conferência da Terra: línguas, ritos e protagonismos nos territórios indígenas: planejamento ambiental, recursos hídricos e patrimônio cultural (Tomo III) </v>
      </c>
      <c r="B30" s="24" t="str">
        <f>IFERROR(__xludf.DUMMYFUNCTION("""COMPUTED_VALUE"""),"Antonio Tolrino de Rezende Veras; Lúcio Keury Almeida Galdino; Giovanni de Farias Seabra (org.); ")</f>
        <v>Antonio Tolrino de Rezende Veras; Lúcio Keury Almeida Galdino; Giovanni de Farias Seabra (org.); </v>
      </c>
      <c r="C30" s="24" t="str">
        <f>IFERROR(__xludf.DUMMYFUNCTION("""COMPUTED_VALUE"""),"Boa Vista ")</f>
        <v>Boa Vista </v>
      </c>
      <c r="D30" s="24" t="str">
        <f>IFERROR(__xludf.DUMMYFUNCTION("""COMPUTED_VALUE"""),"UFRR")</f>
        <v>UFRR</v>
      </c>
      <c r="E30" s="25">
        <f>IFERROR(__xludf.DUMMYFUNCTION("""COMPUTED_VALUE"""),2020.0)</f>
        <v>2020</v>
      </c>
      <c r="F30" s="24" t="str">
        <f>IFERROR(__xludf.DUMMYFUNCTION("""COMPUTED_VALUE"""),"Território indígena; Planejamento cultural; Recursos hídricos; Patrimônio cultural")</f>
        <v>Território indígena; Planejamento cultural; Recursos hídricos; Patrimônio cultural</v>
      </c>
      <c r="G30" s="30" t="str">
        <f>IFERROR(__xludf.DUMMYFUNCTION("""COMPUTED_VALUE"""),"9786586062052")</f>
        <v>9786586062052</v>
      </c>
      <c r="H30" s="29" t="str">
        <f>IFERROR(__xludf.DUMMYFUNCTION("""COMPUTED_VALUE"""),"http://ufrr.br/editora/index.php/editais?download=437")</f>
        <v>http://ufrr.br/editora/index.php/editais?download=437</v>
      </c>
      <c r="I30" s="24" t="str">
        <f>IFERROR(__xludf.DUMMYFUNCTION("""COMPUTED_VALUE"""),"Ciências Agrárias")</f>
        <v>Ciências Agrárias</v>
      </c>
    </row>
    <row r="31">
      <c r="A31" s="24" t="str">
        <f>IFERROR(__xludf.DUMMYFUNCTION("""COMPUTED_VALUE"""),"Conceitos de bacias hidrográficas: teorias e aplicações")</f>
        <v>Conceitos de bacias hidrográficas: teorias e aplicações</v>
      </c>
      <c r="B31" s="24" t="str">
        <f>IFERROR(__xludf.DUMMYFUNCTION("""COMPUTED_VALUE"""),"Editores Alexandre Schiavetti, Antonio F. M. Camargo")</f>
        <v>Editores Alexandre Schiavetti, Antonio F. M. Camargo</v>
      </c>
      <c r="C31" s="24" t="str">
        <f>IFERROR(__xludf.DUMMYFUNCTION("""COMPUTED_VALUE"""),"Ilhéus, BA")</f>
        <v>Ilhéus, BA</v>
      </c>
      <c r="D31" s="24" t="str">
        <f>IFERROR(__xludf.DUMMYFUNCTION("""COMPUTED_VALUE"""),"Editus")</f>
        <v>Editus</v>
      </c>
      <c r="E31" s="25">
        <f>IFERROR(__xludf.DUMMYFUNCTION("""COMPUTED_VALUE"""),2002.0)</f>
        <v>2002</v>
      </c>
      <c r="F31" s="24" t="str">
        <f>IFERROR(__xludf.DUMMYFUNCTION("""COMPUTED_VALUE"""),"Bacias hidrográficas")</f>
        <v>Bacias hidrográficas</v>
      </c>
      <c r="G31" s="30" t="str">
        <f>IFERROR(__xludf.DUMMYFUNCTION("""COMPUTED_VALUE"""),"8574550531")</f>
        <v>8574550531</v>
      </c>
      <c r="H31" s="29" t="str">
        <f>IFERROR(__xludf.DUMMYFUNCTION("""COMPUTED_VALUE"""),"http://www.uesc.br/editora/livrosdigitais2015/conceitos_de_bacias.pdf")</f>
        <v>http://www.uesc.br/editora/livrosdigitais2015/conceitos_de_bacias.pdf</v>
      </c>
      <c r="I31" s="24" t="str">
        <f>IFERROR(__xludf.DUMMYFUNCTION("""COMPUTED_VALUE"""),"Ciências Agrárias")</f>
        <v>Ciências Agrárias</v>
      </c>
    </row>
    <row r="32">
      <c r="A32" s="24" t="str">
        <f>IFERROR(__xludf.DUMMYFUNCTION("""COMPUTED_VALUE"""),"Conflito e cooperação: análise das estratégias sócio-ambientais da Aracruz Celulose S.A.")</f>
        <v>Conflito e cooperação: análise das estratégias sócio-ambientais da Aracruz Celulose S.A.</v>
      </c>
      <c r="B32" s="24" t="str">
        <f>IFERROR(__xludf.DUMMYFUNCTION("""COMPUTED_VALUE"""),"José Célio Silveira Andrade, Camila Carneiro Dias")</f>
        <v>José Célio Silveira Andrade, Camila Carneiro Dias</v>
      </c>
      <c r="C32" s="24" t="str">
        <f>IFERROR(__xludf.DUMMYFUNCTION("""COMPUTED_VALUE"""),"Ilhéus, BA")</f>
        <v>Ilhéus, BA</v>
      </c>
      <c r="D32" s="24" t="str">
        <f>IFERROR(__xludf.DUMMYFUNCTION("""COMPUTED_VALUE"""),"Editus")</f>
        <v>Editus</v>
      </c>
      <c r="E32" s="25">
        <f>IFERROR(__xludf.DUMMYFUNCTION("""COMPUTED_VALUE"""),2003.0)</f>
        <v>2003</v>
      </c>
      <c r="F32" s="24" t="str">
        <f>IFERROR(__xludf.DUMMYFUNCTION("""COMPUTED_VALUE"""),"Sociologia ambiental; Desenvolvimento sustentável; Política; ambiental; Recursos naturais")</f>
        <v>Sociologia ambiental; Desenvolvimento sustentável; Política; ambiental; Recursos naturais</v>
      </c>
      <c r="G32" s="30" t="str">
        <f>IFERROR(__xludf.DUMMYFUNCTION("""COMPUTED_VALUE"""),"8574550698")</f>
        <v>8574550698</v>
      </c>
      <c r="H32" s="29" t="str">
        <f>IFERROR(__xludf.DUMMYFUNCTION("""COMPUTED_VALUE"""),"http://www.uesc.br/editora/livrosdigitais2015/conflito_cooperacao.pdf")</f>
        <v>http://www.uesc.br/editora/livrosdigitais2015/conflito_cooperacao.pdf</v>
      </c>
      <c r="I32" s="24" t="str">
        <f>IFERROR(__xludf.DUMMYFUNCTION("""COMPUTED_VALUE"""),"Ciências Agrárias")</f>
        <v>Ciências Agrárias</v>
      </c>
    </row>
    <row r="33">
      <c r="A33" s="24" t="str">
        <f>IFERROR(__xludf.DUMMYFUNCTION("""COMPUTED_VALUE"""),"Conflito, territorialidade e desenvolvimento: algumas reflexões sobre o campo amapaense")</f>
        <v>Conflito, territorialidade e desenvolvimento: algumas reflexões sobre o campo amapaense</v>
      </c>
      <c r="B33" s="24" t="str">
        <f>IFERROR(__xludf.DUMMYFUNCTION("""COMPUTED_VALUE"""),"Roni Mayer Lomba... (et. al.) (org.) ")</f>
        <v>Roni Mayer Lomba... (et. al.) (org.) </v>
      </c>
      <c r="C33" s="24" t="str">
        <f>IFERROR(__xludf.DUMMYFUNCTION("""COMPUTED_VALUE"""),"Dourados, MS")</f>
        <v>Dourados, MS</v>
      </c>
      <c r="D33" s="24" t="str">
        <f>IFERROR(__xludf.DUMMYFUNCTION("""COMPUTED_VALUE"""),"Ed. UFGD")</f>
        <v>Ed. UFGD</v>
      </c>
      <c r="E33" s="25">
        <f>IFERROR(__xludf.DUMMYFUNCTION("""COMPUTED_VALUE"""),2014.0)</f>
        <v>2014</v>
      </c>
      <c r="F33" s="24" t="str">
        <f>IFERROR(__xludf.DUMMYFUNCTION("""COMPUTED_VALUE"""),"Conflito fundiário; Desenvolvimento; Territorialidade")</f>
        <v>Conflito fundiário; Desenvolvimento; Territorialidade</v>
      </c>
      <c r="G33" s="30" t="str">
        <f>IFERROR(__xludf.DUMMYFUNCTION("""COMPUTED_VALUE"""),"9788581470979")</f>
        <v>9788581470979</v>
      </c>
      <c r="H33" s="29" t="str">
        <f>IFERROR(__xludf.DUMMYFUNCTION("""COMPUTED_VALUE"""),"http://omp.ufgd.edu.br/omp/index.php/livrosabertos/catalog/view/63/67/230-1")</f>
        <v>http://omp.ufgd.edu.br/omp/index.php/livrosabertos/catalog/view/63/67/230-1</v>
      </c>
      <c r="I33" s="24" t="str">
        <f>IFERROR(__xludf.DUMMYFUNCTION("""COMPUTED_VALUE"""),"Ciências Agrárias")</f>
        <v>Ciências Agrárias</v>
      </c>
    </row>
    <row r="34">
      <c r="A34" s="24" t="str">
        <f>IFERROR(__xludf.DUMMYFUNCTION("""COMPUTED_VALUE"""),"Conhecendo os principais solos do Paraná: abordagem para professores do ensino fundamental e médio")</f>
        <v>Conhecendo os principais solos do Paraná: abordagem para professores do ensino fundamental e médio</v>
      </c>
      <c r="B34" s="24" t="str">
        <f>IFERROR(__xludf.DUMMYFUNCTION("""COMPUTED_VALUE"""),"Lima, Valmiqui Costa; Lima, Marcelo Ricardo de; Melo, Vander de Freitas")</f>
        <v>Lima, Valmiqui Costa; Lima, Marcelo Ricardo de; Melo, Vander de Freitas</v>
      </c>
      <c r="C34" s="24" t="str">
        <f>IFERROR(__xludf.DUMMYFUNCTION("""COMPUTED_VALUE"""),"Curitiba")</f>
        <v>Curitiba</v>
      </c>
      <c r="D34" s="24" t="str">
        <f>IFERROR(__xludf.DUMMYFUNCTION("""COMPUTED_VALUE"""),"Sociedade Brasileira de Ciencia do Solo/ Núcleo Estadual do Paraná ")</f>
        <v>Sociedade Brasileira de Ciencia do Solo/ Núcleo Estadual do Paraná </v>
      </c>
      <c r="E34" s="25">
        <f>IFERROR(__xludf.DUMMYFUNCTION("""COMPUTED_VALUE"""),2012.0)</f>
        <v>2012</v>
      </c>
      <c r="F34" s="24" t="str">
        <f>IFERROR(__xludf.DUMMYFUNCTION("""COMPUTED_VALUE"""),"Solos - Classificação - Paraná")</f>
        <v>Solos - Classificação - Paraná</v>
      </c>
      <c r="G34" s="30" t="str">
        <f>IFERROR(__xludf.DUMMYFUNCTION("""COMPUTED_VALUE"""),"9788589950077")</f>
        <v>9788589950077</v>
      </c>
      <c r="H34" s="29" t="str">
        <f>IFERROR(__xludf.DUMMYFUNCTION("""COMPUTED_VALUE"""),"https://hdl.handle.net/1884/67897")</f>
        <v>https://hdl.handle.net/1884/67897</v>
      </c>
      <c r="I34" s="24" t="str">
        <f>IFERROR(__xludf.DUMMYFUNCTION("""COMPUTED_VALUE"""),"Ciências Agrárias")</f>
        <v>Ciências Agrárias</v>
      </c>
    </row>
    <row r="35">
      <c r="A35" s="24" t="str">
        <f>IFERROR(__xludf.DUMMYFUNCTION("""COMPUTED_VALUE"""),"Conhecendo os solos: abordagem para educadores do ensino fundamental na modalidade à distância")</f>
        <v>Conhecendo os solos: abordagem para educadores do ensino fundamental na modalidade à distância</v>
      </c>
      <c r="B35" s="24" t="str">
        <f>IFERROR(__xludf.DUMMYFUNCTION("""COMPUTED_VALUE"""),"Lima, Marcelo Ricardo de")</f>
        <v>Lima, Marcelo Ricardo de</v>
      </c>
      <c r="C35" s="24" t="str">
        <f>IFERROR(__xludf.DUMMYFUNCTION("""COMPUTED_VALUE"""),"Curitiba")</f>
        <v>Curitiba</v>
      </c>
      <c r="D35" s="24" t="str">
        <f>IFERROR(__xludf.DUMMYFUNCTION("""COMPUTED_VALUE"""),"UFPR - Departamento de Solos e Engenharia Agrícola")</f>
        <v>UFPR - Departamento de Solos e Engenharia Agrícola</v>
      </c>
      <c r="E35" s="25">
        <f>IFERROR(__xludf.DUMMYFUNCTION("""COMPUTED_VALUE"""),2014.0)</f>
        <v>2014</v>
      </c>
      <c r="F35" s="24" t="str">
        <f>IFERROR(__xludf.DUMMYFUNCTION("""COMPUTED_VALUE"""),"Solos; Ciência do solo; Solos - Estudo e ensino")</f>
        <v>Solos; Ciência do solo; Solos - Estudo e ensino</v>
      </c>
      <c r="G35" s="30" t="str">
        <f>IFERROR(__xludf.DUMMYFUNCTION("""COMPUTED_VALUE"""),"9788589950091")</f>
        <v>9788589950091</v>
      </c>
      <c r="H35" s="29" t="str">
        <f>IFERROR(__xludf.DUMMYFUNCTION("""COMPUTED_VALUE"""),"https://hdl.handle.net/1884/67898")</f>
        <v>https://hdl.handle.net/1884/67898</v>
      </c>
      <c r="I35" s="24" t="str">
        <f>IFERROR(__xludf.DUMMYFUNCTION("""COMPUTED_VALUE"""),"Ciências Agrárias")</f>
        <v>Ciências Agrárias</v>
      </c>
    </row>
    <row r="36">
      <c r="A36" s="24" t="str">
        <f>IFERROR(__xludf.DUMMYFUNCTION("""COMPUTED_VALUE"""),"Contbuição ao desenvolvimento do agronegócio da floricultura na Amazônia")</f>
        <v>Contbuição ao desenvolvimento do agronegócio da floricultura na Amazônia</v>
      </c>
      <c r="B36" s="24" t="str">
        <f>IFERROR(__xludf.DUMMYFUNCTION("""COMPUTED_VALUE"""),"Ismael de Jesus Matos Viegas, Dilson Augusto Capucho Frazão, Heráclito Eugênio Oliveira da Conceição organizadores")</f>
        <v>Ismael de Jesus Matos Viegas, Dilson Augusto Capucho Frazão, Heráclito Eugênio Oliveira da Conceição organizadores</v>
      </c>
      <c r="C36" s="24" t="str">
        <f>IFERROR(__xludf.DUMMYFUNCTION("""COMPUTED_VALUE"""),"Belém")</f>
        <v>Belém</v>
      </c>
      <c r="D36" s="24" t="str">
        <f>IFERROR(__xludf.DUMMYFUNCTION("""COMPUTED_VALUE"""),"Edufra")</f>
        <v>Edufra</v>
      </c>
      <c r="E36" s="25">
        <f>IFERROR(__xludf.DUMMYFUNCTION("""COMPUTED_VALUE"""),2015.0)</f>
        <v>2015</v>
      </c>
      <c r="F36" s="24" t="str">
        <f>IFERROR(__xludf.DUMMYFUNCTION("""COMPUTED_VALUE"""),"Floricultura; Agronegócio; Pará")</f>
        <v>Floricultura; Agronegócio; Pará</v>
      </c>
      <c r="G36" s="30" t="str">
        <f>IFERROR(__xludf.DUMMYFUNCTION("""COMPUTED_VALUE"""),"9788572950879")</f>
        <v>9788572950879</v>
      </c>
      <c r="H36" s="29" t="str">
        <f>IFERROR(__xludf.DUMMYFUNCTION("""COMPUTED_VALUE"""),"https://www.yumpu.com/xx/embed/view/4yrP2OStJUuBAnCa")</f>
        <v>https://www.yumpu.com/xx/embed/view/4yrP2OStJUuBAnCa</v>
      </c>
      <c r="I36" s="24" t="str">
        <f>IFERROR(__xludf.DUMMYFUNCTION("""COMPUTED_VALUE"""),"Ciências Agrárias")</f>
        <v>Ciências Agrárias</v>
      </c>
    </row>
    <row r="37">
      <c r="A37" s="24" t="str">
        <f>IFERROR(__xludf.DUMMYFUNCTION("""COMPUTED_VALUE"""),"Cultivo de Girassol para Apicultura, Forragem e Produção de Óleo")</f>
        <v>Cultivo de Girassol para Apicultura, Forragem e Produção de Óleo</v>
      </c>
      <c r="B37" s="24" t="str">
        <f>IFERROR(__xludf.DUMMYFUNCTION("""COMPUTED_VALUE"""),"Gisele Lopes dos Santos; Kássio Alves Dantas; Lisiane Lucena Bezerra; Nair Helena Castro Arriel; Amanda Micheline Amador de Lucena; Josemir Moura Maia")</f>
        <v>Gisele Lopes dos Santos; Kássio Alves Dantas; Lisiane Lucena Bezerra; Nair Helena Castro Arriel; Amanda Micheline Amador de Lucena; Josemir Moura Maia</v>
      </c>
      <c r="C37" s="24" t="str">
        <f>IFERROR(__xludf.DUMMYFUNCTION("""COMPUTED_VALUE"""),"Campina Grande")</f>
        <v>Campina Grande</v>
      </c>
      <c r="D37" s="24" t="str">
        <f>IFERROR(__xludf.DUMMYFUNCTION("""COMPUTED_VALUE"""),"EDUEPB")</f>
        <v>EDUEPB</v>
      </c>
      <c r="E37" s="25">
        <f>IFERROR(__xludf.DUMMYFUNCTION("""COMPUTED_VALUE"""),2014.0)</f>
        <v>2014</v>
      </c>
      <c r="F37" s="24" t="str">
        <f>IFERROR(__xludf.DUMMYFUNCTION("""COMPUTED_VALUE"""),"Girassol. Cultivo. Cultura do girassol. Irrigação. Controle de pragas")</f>
        <v>Girassol. Cultivo. Cultura do girassol. Irrigação. Controle de pragas</v>
      </c>
      <c r="G37" s="30" t="str">
        <f>IFERROR(__xludf.DUMMYFUNCTION("""COMPUTED_VALUE"""),"9788578792183")</f>
        <v>9788578792183</v>
      </c>
      <c r="H37" s="29" t="str">
        <f>IFERROR(__xludf.DUMMYFUNCTION("""COMPUTED_VALUE"""),"http://eduepb.uepb.edu.br/download/cultivo-de-girassol-para-apicultura-forragem-e-produc%cc%a7a%cc%83o-de-oleo/?wpdmdl=172&amp;amp;masterkey=5af9987741d73")</f>
        <v>http://eduepb.uepb.edu.br/download/cultivo-de-girassol-para-apicultura-forragem-e-produc%cc%a7a%cc%83o-de-oleo/?wpdmdl=172&amp;amp;masterkey=5af9987741d73</v>
      </c>
      <c r="I37" s="24" t="str">
        <f>IFERROR(__xludf.DUMMYFUNCTION("""COMPUTED_VALUE"""),"Ciências Agrárias")</f>
        <v>Ciências Agrárias</v>
      </c>
    </row>
    <row r="38">
      <c r="A38" s="24" t="str">
        <f>IFERROR(__xludf.DUMMYFUNCTION("""COMPUTED_VALUE"""),"Cultura do feijão: doenças e controle*")</f>
        <v>Cultura do feijão: doenças e controle*</v>
      </c>
      <c r="B38" s="24" t="str">
        <f>IFERROR(__xludf.DUMMYFUNCTION("""COMPUTED_VALUE"""),"Maristella Dalla Pria e Olavo Corrêa da Silva")</f>
        <v>Maristella Dalla Pria e Olavo Corrêa da Silva</v>
      </c>
      <c r="C38" s="24" t="str">
        <f>IFERROR(__xludf.DUMMYFUNCTION("""COMPUTED_VALUE"""),"Ponta Grossa")</f>
        <v>Ponta Grossa</v>
      </c>
      <c r="D38" s="24" t="str">
        <f>IFERROR(__xludf.DUMMYFUNCTION("""COMPUTED_VALUE"""),"Editora UEPG")</f>
        <v>Editora UEPG</v>
      </c>
      <c r="E38" s="25">
        <f>IFERROR(__xludf.DUMMYFUNCTION("""COMPUTED_VALUE"""),2018.0)</f>
        <v>2018</v>
      </c>
      <c r="F38" s="24" t="str">
        <f>IFERROR(__xludf.DUMMYFUNCTION("""COMPUTED_VALUE"""),"Cultura do feijão ")</f>
        <v>Cultura do feijão </v>
      </c>
      <c r="G38" s="30" t="str">
        <f>IFERROR(__xludf.DUMMYFUNCTION("""COMPUTED_VALUE"""),"9788577982295")</f>
        <v>9788577982295</v>
      </c>
      <c r="H38" s="29" t="str">
        <f>IFERROR(__xludf.DUMMYFUNCTION("""COMPUTED_VALUE"""),"https://portal-archipelagus.azurewebsites.net/farol/eduepg/ebook/cultura-do-feijao-doencas-e-controle/52242/")</f>
        <v>https://portal-archipelagus.azurewebsites.net/farol/eduepg/ebook/cultura-do-feijao-doencas-e-controle/52242/</v>
      </c>
      <c r="I38" s="24" t="str">
        <f>IFERROR(__xludf.DUMMYFUNCTION("""COMPUTED_VALUE"""),"Ciências Agrárias")</f>
        <v>Ciências Agrárias</v>
      </c>
    </row>
    <row r="39">
      <c r="A39" s="24" t="str">
        <f>IFERROR(__xludf.DUMMYFUNCTION("""COMPUTED_VALUE"""),"Custo de produção da cultura da abóbora: como aumentar a margem de lucro com a mesma produção")</f>
        <v>Custo de produção da cultura da abóbora: como aumentar a margem de lucro com a mesma produção</v>
      </c>
      <c r="B39" s="24" t="str">
        <f>IFERROR(__xludf.DUMMYFUNCTION("""COMPUTED_VALUE"""),"José Roberto Rambo; Gilmar Laforga; Celso Menezes Coelho Filho; Anísio da Silva Nunes; Lucas de Jesus Santos")</f>
        <v>José Roberto Rambo; Gilmar Laforga; Celso Menezes Coelho Filho; Anísio da Silva Nunes; Lucas de Jesus Santos</v>
      </c>
      <c r="C39" s="24" t="str">
        <f>IFERROR(__xludf.DUMMYFUNCTION("""COMPUTED_VALUE"""),"Tangará da Serra")</f>
        <v>Tangará da Serra</v>
      </c>
      <c r="D39" s="24" t="str">
        <f>IFERROR(__xludf.DUMMYFUNCTION("""COMPUTED_VALUE"""),"UNEMAT")</f>
        <v>UNEMAT</v>
      </c>
      <c r="E39" s="25">
        <f>IFERROR(__xludf.DUMMYFUNCTION("""COMPUTED_VALUE"""),2018.0)</f>
        <v>2018</v>
      </c>
      <c r="F39" s="24" t="str">
        <f>IFERROR(__xludf.DUMMYFUNCTION("""COMPUTED_VALUE"""),"Abóbora; Cultura de produção; Agronomia")</f>
        <v>Abóbora; Cultura de produção; Agronomia</v>
      </c>
      <c r="G39" s="30" t="str">
        <f>IFERROR(__xludf.DUMMYFUNCTION("""COMPUTED_VALUE"""),"9788579111976")</f>
        <v>9788579111976</v>
      </c>
      <c r="H39" s="29" t="str">
        <f>IFERROR(__xludf.DUMMYFUNCTION("""COMPUTED_VALUE"""),"http://portal.unemat.br/media/files/editora_cartilha-a-campo-custo-de-producao-de-abobora-e-book.pdf")</f>
        <v>http://portal.unemat.br/media/files/editora_cartilha-a-campo-custo-de-producao-de-abobora-e-book.pdf</v>
      </c>
      <c r="I39" s="24" t="str">
        <f>IFERROR(__xludf.DUMMYFUNCTION("""COMPUTED_VALUE"""),"Ciências Agrárias")</f>
        <v>Ciências Agrárias</v>
      </c>
    </row>
    <row r="40">
      <c r="A40" s="24" t="str">
        <f>IFERROR(__xludf.DUMMYFUNCTION("""COMPUTED_VALUE"""),"Da agronomia à UFGD")</f>
        <v>Da agronomia à UFGD</v>
      </c>
      <c r="B40" s="24" t="str">
        <f>IFERROR(__xludf.DUMMYFUNCTION("""COMPUTED_VALUE"""),"Edgard Jardim Rosa Junior")</f>
        <v>Edgard Jardim Rosa Junior</v>
      </c>
      <c r="C40" s="24" t="str">
        <f>IFERROR(__xludf.DUMMYFUNCTION("""COMPUTED_VALUE"""),"Dourados, MS")</f>
        <v>Dourados, MS</v>
      </c>
      <c r="D40" s="24" t="str">
        <f>IFERROR(__xludf.DUMMYFUNCTION("""COMPUTED_VALUE"""),"Ed. Universidade Federal da Grande Dourados")</f>
        <v>Ed. Universidade Federal da Grande Dourados</v>
      </c>
      <c r="E40" s="25">
        <f>IFERROR(__xludf.DUMMYFUNCTION("""COMPUTED_VALUE"""),2020.0)</f>
        <v>2020</v>
      </c>
      <c r="F40" s="24" t="str">
        <f>IFERROR(__xludf.DUMMYFUNCTION("""COMPUTED_VALUE"""),"Curso de agronomia; História da agronomia; Agronomia da UFGD")</f>
        <v>Curso de agronomia; História da agronomia; Agronomia da UFGD</v>
      </c>
      <c r="G40" s="30" t="str">
        <f>IFERROR(__xludf.DUMMYFUNCTION("""COMPUTED_VALUE"""),"9788581471792")</f>
        <v>9788581471792</v>
      </c>
      <c r="H40" s="29" t="str">
        <f>IFERROR(__xludf.DUMMYFUNCTION("""COMPUTED_VALUE"""),"http://omp.ufgd.edu.br/omp/index.php/livrosabertos/catalog/view/332/263/2487-1")</f>
        <v>http://omp.ufgd.edu.br/omp/index.php/livrosabertos/catalog/view/332/263/2487-1</v>
      </c>
      <c r="I40" s="24" t="str">
        <f>IFERROR(__xludf.DUMMYFUNCTION("""COMPUTED_VALUE"""),"Ciências Agrárias")</f>
        <v>Ciências Agrárias</v>
      </c>
    </row>
    <row r="41">
      <c r="A41" s="24" t="str">
        <f>IFERROR(__xludf.DUMMYFUNCTION("""COMPUTED_VALUE"""),"Dasometria practica")</f>
        <v>Dasometria practica</v>
      </c>
      <c r="B41" s="24" t="str">
        <f>IFERROR(__xludf.DUMMYFUNCTION("""COMPUTED_VALUE"""),"José Imaña-Encinas")</f>
        <v>José Imaña-Encinas</v>
      </c>
      <c r="C41" s="24" t="str">
        <f>IFERROR(__xludf.DUMMYFUNCTION("""COMPUTED_VALUE"""),"Brasília")</f>
        <v>Brasília</v>
      </c>
      <c r="D41" s="24" t="str">
        <f>IFERROR(__xludf.DUMMYFUNCTION("""COMPUTED_VALUE"""),"Editora Universidade de Brasília")</f>
        <v>Editora Universidade de Brasília</v>
      </c>
      <c r="E41" s="25">
        <f>IFERROR(__xludf.DUMMYFUNCTION("""COMPUTED_VALUE"""),1998.0)</f>
        <v>1998</v>
      </c>
      <c r="F41" s="24" t="str">
        <f>IFERROR(__xludf.DUMMYFUNCTION("""COMPUTED_VALUE"""),"Mensura forestal; Inventário forestal; Dendrometria")</f>
        <v>Mensura forestal; Inventário forestal; Dendrometria</v>
      </c>
      <c r="G41" s="31"/>
      <c r="H41" s="29" t="str">
        <f>IFERROR(__xludf.DUMMYFUNCTION("""COMPUTED_VALUE"""),"https://livros.unb.br/index.php/portal/catalog/view/12/10/43-1")</f>
        <v>https://livros.unb.br/index.php/portal/catalog/view/12/10/43-1</v>
      </c>
      <c r="I41" s="24" t="str">
        <f>IFERROR(__xludf.DUMMYFUNCTION("""COMPUTED_VALUE"""),"Ciências Agrárias")</f>
        <v>Ciências Agrárias</v>
      </c>
    </row>
    <row r="42">
      <c r="A42" s="24" t="str">
        <f>IFERROR(__xludf.DUMMYFUNCTION("""COMPUTED_VALUE"""),"Desafios e avanços da cadeia produtiva do leite*")</f>
        <v>Desafios e avanços da cadeia produtiva do leite*</v>
      </c>
      <c r="B42" s="24" t="str">
        <f>IFERROR(__xludf.DUMMYFUNCTION("""COMPUTED_VALUE"""),"Adriana de Souza Martis")</f>
        <v>Adriana de Souza Martis</v>
      </c>
      <c r="C42" s="24" t="str">
        <f>IFERROR(__xludf.DUMMYFUNCTION("""COMPUTED_VALUE"""),"Ponta Grossa")</f>
        <v>Ponta Grossa</v>
      </c>
      <c r="D42" s="24" t="str">
        <f>IFERROR(__xludf.DUMMYFUNCTION("""COMPUTED_VALUE"""),"Editora UEPG")</f>
        <v>Editora UEPG</v>
      </c>
      <c r="E42" s="25">
        <f>IFERROR(__xludf.DUMMYFUNCTION("""COMPUTED_VALUE"""),2019.0)</f>
        <v>2019</v>
      </c>
      <c r="F42" s="24" t="str">
        <f>IFERROR(__xludf.DUMMYFUNCTION("""COMPUTED_VALUE"""),"Pretende-se que este livro integre os conhecimentos de produtores, indústrias de laticínios, pesquisadores, professores e acadêmicos, por meio da divulgação de pesquisas, banco de dados e de tecnologias que contribuam com o fortalecimento dos elos da cade"&amp;"ia produtiva do leite")</f>
        <v>Pretende-se que este livro integre os conhecimentos de produtores, indústrias de laticínios, pesquisadores, professores e acadêmicos, por meio da divulgação de pesquisas, banco de dados e de tecnologias que contribuam com o fortalecimento dos elos da cadeia produtiva do leite</v>
      </c>
      <c r="G42" s="30" t="str">
        <f>IFERROR(__xludf.DUMMYFUNCTION("""COMPUTED_VALUE"""),"9788577982523")</f>
        <v>9788577982523</v>
      </c>
      <c r="H42" s="29" t="str">
        <f>IFERROR(__xludf.DUMMYFUNCTION("""COMPUTED_VALUE"""),"https://portal-archipelagus.azurewebsites.net/farol/eduepg/ebook/desafios-e-avancos-da-cadeia-produtiva-do-leite/1205431/")</f>
        <v>https://portal-archipelagus.azurewebsites.net/farol/eduepg/ebook/desafios-e-avancos-da-cadeia-produtiva-do-leite/1205431/</v>
      </c>
      <c r="I42" s="24" t="str">
        <f>IFERROR(__xludf.DUMMYFUNCTION("""COMPUTED_VALUE"""),"Ciências Agrárias")</f>
        <v>Ciências Agrárias</v>
      </c>
    </row>
    <row r="43">
      <c r="A43" s="24" t="str">
        <f>IFERROR(__xludf.DUMMYFUNCTION("""COMPUTED_VALUE"""),"Diagnóstico e recomendações de manejo do solo: aspectos teóricos e metodológicos")</f>
        <v>Diagnóstico e recomendações de manejo do solo: aspectos teóricos e metodológicos</v>
      </c>
      <c r="B43" s="24" t="str">
        <f>IFERROR(__xludf.DUMMYFUNCTION("""COMPUTED_VALUE"""),"Lima, Marcelo Ricardo de; Sirtoli, Ângelo Evaristo; Projeto Transição Agroecológica em Agricultura Familiar na Regiao Metropolitana de Curitiba e Litoral do Paraná; Projeto Solo Planta")</f>
        <v>Lima, Marcelo Ricardo de; Sirtoli, Ângelo Evaristo; Projeto Transição Agroecológica em Agricultura Familiar na Regiao Metropolitana de Curitiba e Litoral do Paraná; Projeto Solo Planta</v>
      </c>
      <c r="C43" s="24" t="str">
        <f>IFERROR(__xludf.DUMMYFUNCTION("""COMPUTED_VALUE"""),"Curitiba")</f>
        <v>Curitiba</v>
      </c>
      <c r="D43" s="24" t="str">
        <f>IFERROR(__xludf.DUMMYFUNCTION("""COMPUTED_VALUE"""),"UFPR- Setor de Ciências Agrárias")</f>
        <v>UFPR- Setor de Ciências Agrárias</v>
      </c>
      <c r="E43" s="25">
        <f>IFERROR(__xludf.DUMMYFUNCTION("""COMPUTED_VALUE"""),2006.0)</f>
        <v>2006</v>
      </c>
      <c r="F43" s="24" t="str">
        <f>IFERROR(__xludf.DUMMYFUNCTION("""COMPUTED_VALUE"""),"Solos - Manejo")</f>
        <v>Solos - Manejo</v>
      </c>
      <c r="G43" s="30" t="str">
        <f>IFERROR(__xludf.DUMMYFUNCTION("""COMPUTED_VALUE"""),"8589950034")</f>
        <v>8589950034</v>
      </c>
      <c r="H43" s="29" t="str">
        <f>IFERROR(__xludf.DUMMYFUNCTION("""COMPUTED_VALUE"""),"https://hdl.handle.net/1884/67903")</f>
        <v>https://hdl.handle.net/1884/67903</v>
      </c>
      <c r="I43" s="24" t="str">
        <f>IFERROR(__xludf.DUMMYFUNCTION("""COMPUTED_VALUE"""),"Ciências Agrárias")</f>
        <v>Ciências Agrárias</v>
      </c>
    </row>
    <row r="44">
      <c r="A44" s="24" t="str">
        <f>IFERROR(__xludf.DUMMYFUNCTION("""COMPUTED_VALUE"""),"Diagnóstico socioeconômico dos sistemas básicos de produção familiar rural do Estado do Acre - ASPF, período 1996/2006")</f>
        <v>Diagnóstico socioeconômico dos sistemas básicos de produção familiar rural do Estado do Acre - ASPF, período 1996/2006</v>
      </c>
      <c r="B44" s="24" t="str">
        <f>IFERROR(__xludf.DUMMYFUNCTION("""COMPUTED_VALUE"""),"Raimundo Cláudio Gomes Maciel")</f>
        <v>Raimundo Cláudio Gomes Maciel</v>
      </c>
      <c r="C44" s="24" t="str">
        <f>IFERROR(__xludf.DUMMYFUNCTION("""COMPUTED_VALUE"""),"Rio Branco")</f>
        <v>Rio Branco</v>
      </c>
      <c r="D44" s="24" t="str">
        <f>IFERROR(__xludf.DUMMYFUNCTION("""COMPUTED_VALUE"""),"Edufac")</f>
        <v>Edufac</v>
      </c>
      <c r="E44" s="25">
        <f>IFERROR(__xludf.DUMMYFUNCTION("""COMPUTED_VALUE"""),2011.0)</f>
        <v>2011</v>
      </c>
      <c r="F44" s="24" t="str">
        <f>IFERROR(__xludf.DUMMYFUNCTION("""COMPUTED_VALUE"""),"Agricultura familiar - Acre; Avaliação socioeconômica – Produção rural - Acre;Sistemas de produção - Acre; Produção familiar rural – 1996/2006 - Acre")</f>
        <v>Agricultura familiar - Acre; Avaliação socioeconômica – Produção rural - Acre;Sistemas de produção - Acre; Produção familiar rural – 1996/2006 - Acre</v>
      </c>
      <c r="G44" s="30" t="str">
        <f>IFERROR(__xludf.DUMMYFUNCTION("""COMPUTED_VALUE"""),"9788598499772")</f>
        <v>9788598499772</v>
      </c>
      <c r="H44" s="29" t="str">
        <f>IFERROR(__xludf.DUMMYFUNCTION("""COMPUTED_VALUE"""),"http://www2.ufac.br/editora/livros/diagnostico-socioeconomico.pdf")</f>
        <v>http://www2.ufac.br/editora/livros/diagnostico-socioeconomico.pdf</v>
      </c>
      <c r="I44" s="24" t="str">
        <f>IFERROR(__xludf.DUMMYFUNCTION("""COMPUTED_VALUE"""),"Ciências Agrárias")</f>
        <v>Ciências Agrárias</v>
      </c>
    </row>
    <row r="45">
      <c r="A45" s="24" t="str">
        <f>IFERROR(__xludf.DUMMYFUNCTION("""COMPUTED_VALUE"""),"Dilemas e desafios na valorização de produtos alimentares tradicionais no Brasil: um estudo a partir do Queijo do Serro, em Minas Gerais, e do Queijo Serrano, no Rio Grande do Sul")</f>
        <v>Dilemas e desafios na valorização de produtos alimentares tradicionais no Brasil: um estudo a partir do Queijo do Serro, em Minas Gerais, e do Queijo Serrano, no Rio Grande do Sul</v>
      </c>
      <c r="B45" s="24" t="str">
        <f>IFERROR(__xludf.DUMMYFUNCTION("""COMPUTED_VALUE"""),"Santos, Jaqueline Sgarbi")</f>
        <v>Santos, Jaqueline Sgarbi</v>
      </c>
      <c r="C45" s="24" t="str">
        <f>IFERROR(__xludf.DUMMYFUNCTION("""COMPUTED_VALUE"""),"Pelotas")</f>
        <v>Pelotas</v>
      </c>
      <c r="D45" s="24" t="str">
        <f>IFERROR(__xludf.DUMMYFUNCTION("""COMPUTED_VALUE"""),"UFPel")</f>
        <v>UFPel</v>
      </c>
      <c r="E45" s="25"/>
      <c r="F45" s="24" t="str">
        <f>IFERROR(__xludf.DUMMYFUNCTION("""COMPUTED_VALUE"""),"Produtos alimentares; Produtos alimentares tradicionais; Queijo do Serro; Queijo Serrano")</f>
        <v>Produtos alimentares; Produtos alimentares tradicionais; Queijo do Serro; Queijo Serrano</v>
      </c>
      <c r="G45" s="30" t="str">
        <f>IFERROR(__xludf.DUMMYFUNCTION("""COMPUTED_VALUE"""),"9788571929500")</f>
        <v>9788571929500</v>
      </c>
      <c r="H45" s="29" t="str">
        <f>IFERROR(__xludf.DUMMYFUNCTION("""COMPUTED_VALUE"""),"http://repositorio.ufpel.edu.br:8080/bitstream/prefix/3800/1/5_DILEMAS%20E%20DESAFIOS%20NA%20VALORIZAÇÃO%20DE%20PRODUTOS%20ALIMENTARES%20TRADICIONAIS%20NO%20BRASIL%20_SÉRIE%20PÓS%20GRADUAÇÃO.pdf")</f>
        <v>http://repositorio.ufpel.edu.br:8080/bitstream/prefix/3800/1/5_DILEMAS%20E%20DESAFIOS%20NA%20VALORIZAÇÃO%20DE%20PRODUTOS%20ALIMENTARES%20TRADICIONAIS%20NO%20BRASIL%20_SÉRIE%20PÓS%20GRADUAÇÃO.pdf</v>
      </c>
      <c r="I45" s="24" t="str">
        <f>IFERROR(__xludf.DUMMYFUNCTION("""COMPUTED_VALUE"""),"Ciências Agrárias")</f>
        <v>Ciências Agrárias</v>
      </c>
    </row>
    <row r="46">
      <c r="A46" s="24" t="str">
        <f>IFERROR(__xludf.DUMMYFUNCTION("""COMPUTED_VALUE"""),"Dinâmica e diferenciação de sistemas agrários")</f>
        <v>Dinâmica e diferenciação de sistemas agrários</v>
      </c>
      <c r="B46" s="24" t="str">
        <f>IFERROR(__xludf.DUMMYFUNCTION("""COMPUTED_VALUE"""),"Miguel, Lovois de Andrade; Neis, Ignacio Antonio; Abreu, Sabrina Pereira de ")</f>
        <v>Miguel, Lovois de Andrade; Neis, Ignacio Antonio; Abreu, Sabrina Pereira de </v>
      </c>
      <c r="C46" s="24" t="str">
        <f>IFERROR(__xludf.DUMMYFUNCTION("""COMPUTED_VALUE"""),"Porto Alegre")</f>
        <v>Porto Alegre</v>
      </c>
      <c r="D46" s="24" t="str">
        <f>IFERROR(__xludf.DUMMYFUNCTION("""COMPUTED_VALUE"""),"UFRGS")</f>
        <v>UFRGS</v>
      </c>
      <c r="E46" s="25">
        <f>IFERROR(__xludf.DUMMYFUNCTION("""COMPUTED_VALUE"""),2009.0)</f>
        <v>2009</v>
      </c>
      <c r="F46" s="24" t="str">
        <f>IFERROR(__xludf.DUMMYFUNCTION("""COMPUTED_VALUE"""),"Agricultura; Educação a distância (EaD); Rio Grande do Sul; Sistemas agrários; Sociologia rural")</f>
        <v>Agricultura; Educação a distância (EaD); Rio Grande do Sul; Sistemas agrários; Sociologia rural</v>
      </c>
      <c r="G46" s="30" t="str">
        <f>IFERROR(__xludf.DUMMYFUNCTION("""COMPUTED_VALUE"""),"9788538600664")</f>
        <v>9788538600664</v>
      </c>
      <c r="H46" s="29" t="str">
        <f>IFERROR(__xludf.DUMMYFUNCTION("""COMPUTED_VALUE"""),"http://hdl.handle.net/10183/52803")</f>
        <v>http://hdl.handle.net/10183/52803</v>
      </c>
      <c r="I46" s="24" t="str">
        <f>IFERROR(__xludf.DUMMYFUNCTION("""COMPUTED_VALUE"""),"Ciências Agrárias")</f>
        <v>Ciências Agrárias</v>
      </c>
    </row>
    <row r="47">
      <c r="A47" s="24" t="str">
        <f>IFERROR(__xludf.DUMMYFUNCTION("""COMPUTED_VALUE"""),"Direito Agrário Ambiental")</f>
        <v>Direito Agrário Ambiental</v>
      </c>
      <c r="B47" s="24" t="str">
        <f>IFERROR(__xludf.DUMMYFUNCTION("""COMPUTED_VALUE"""),"Belinda Pereira Cunha e Fernando Joaquim Ferreira Maia (Coordenadores); Nálbia Roberta Araujo da Costa, Iranice Muniz e Breno Marques de Mello (org.)")</f>
        <v>Belinda Pereira Cunha e Fernando Joaquim Ferreira Maia (Coordenadores); Nálbia Roberta Araujo da Costa, Iranice Muniz e Breno Marques de Mello (org.)</v>
      </c>
      <c r="C47" s="24" t="str">
        <f>IFERROR(__xludf.DUMMYFUNCTION("""COMPUTED_VALUE"""),"Recife")</f>
        <v>Recife</v>
      </c>
      <c r="D47" s="24" t="str">
        <f>IFERROR(__xludf.DUMMYFUNCTION("""COMPUTED_VALUE"""),"Editora Universitária da UFRPE")</f>
        <v>Editora Universitária da UFRPE</v>
      </c>
      <c r="E47" s="25">
        <f>IFERROR(__xludf.DUMMYFUNCTION("""COMPUTED_VALUE"""),2016.0)</f>
        <v>2016</v>
      </c>
      <c r="F47" s="24" t="str">
        <f>IFERROR(__xludf.DUMMYFUNCTION("""COMPUTED_VALUE"""),"Direito agrário; Direito ambiental; Sustentabilidade")</f>
        <v>Direito agrário; Direito ambiental; Sustentabilidade</v>
      </c>
      <c r="G47" s="30" t="str">
        <f>IFERROR(__xludf.DUMMYFUNCTION("""COMPUTED_VALUE"""),"9788579462566")</f>
        <v>9788579462566</v>
      </c>
      <c r="H47" s="29" t="str">
        <f>IFERROR(__xludf.DUMMYFUNCTION("""COMPUTED_VALUE"""),"https://www.dropbox.com/s/dbs9ik164llsfwd/EbookDireitoAgrarioAmbiental.pdf?dl=0")</f>
        <v>https://www.dropbox.com/s/dbs9ik164llsfwd/EbookDireitoAgrarioAmbiental.pdf?dl=0</v>
      </c>
      <c r="I47" s="24" t="str">
        <f>IFERROR(__xludf.DUMMYFUNCTION("""COMPUTED_VALUE"""),"Ciências Agrárias")</f>
        <v>Ciências Agrárias</v>
      </c>
    </row>
    <row r="48">
      <c r="A48" s="24" t="str">
        <f>IFERROR(__xludf.DUMMYFUNCTION("""COMPUTED_VALUE"""),"Elaboração de monografia na área de desenvolvimento rural")</f>
        <v>Elaboração de monografia na área de desenvolvimento rural</v>
      </c>
      <c r="B48" s="24" t="str">
        <f>IFERROR(__xludf.DUMMYFUNCTION("""COMPUTED_VALUE"""),"Dorneles, Simone Bochi ")</f>
        <v>Dorneles, Simone Bochi </v>
      </c>
      <c r="C48" s="24" t="str">
        <f>IFERROR(__xludf.DUMMYFUNCTION("""COMPUTED_VALUE"""),"Porto Alegre")</f>
        <v>Porto Alegre</v>
      </c>
      <c r="D48" s="24" t="str">
        <f>IFERROR(__xludf.DUMMYFUNCTION("""COMPUTED_VALUE"""),"UFRGS")</f>
        <v>UFRGS</v>
      </c>
      <c r="E48" s="25">
        <f>IFERROR(__xludf.DUMMYFUNCTION("""COMPUTED_VALUE"""),2011.0)</f>
        <v>2011</v>
      </c>
      <c r="F48" s="24" t="str">
        <f>IFERROR(__xludf.DUMMYFUNCTION("""COMPUTED_VALUE"""),"Desenvolvimento rural; Monografia : Elaboração; Monografia : Metodologia; Monografia : Tecnica de pesquisa : Referencia bibliografica")</f>
        <v>Desenvolvimento rural; Monografia : Elaboração; Monografia : Metodologia; Monografia : Tecnica de pesquisa : Referencia bibliografica</v>
      </c>
      <c r="G48" s="30" t="str">
        <f>IFERROR(__xludf.DUMMYFUNCTION("""COMPUTED_VALUE"""),"9788538601579")</f>
        <v>9788538601579</v>
      </c>
      <c r="H48" s="29" t="str">
        <f>IFERROR(__xludf.DUMMYFUNCTION("""COMPUTED_VALUE"""),"http://hdl.handle.net/10183/56452")</f>
        <v>http://hdl.handle.net/10183/56452</v>
      </c>
      <c r="I48" s="24" t="str">
        <f>IFERROR(__xludf.DUMMYFUNCTION("""COMPUTED_VALUE"""),"Ciências Agrárias")</f>
        <v>Ciências Agrárias</v>
      </c>
    </row>
    <row r="49">
      <c r="A49" s="24" t="str">
        <f>IFERROR(__xludf.DUMMYFUNCTION("""COMPUTED_VALUE"""),"Elaboração e avaliação de projetos para a agricultura")</f>
        <v>Elaboração e avaliação de projetos para a agricultura</v>
      </c>
      <c r="B49" s="24" t="str">
        <f>IFERROR(__xludf.DUMMYFUNCTION("""COMPUTED_VALUE"""),"Oliveira, Valter Lucio de ")</f>
        <v>Oliveira, Valter Lucio de </v>
      </c>
      <c r="C49" s="24" t="str">
        <f>IFERROR(__xludf.DUMMYFUNCTION("""COMPUTED_VALUE"""),"Porto Alegre")</f>
        <v>Porto Alegre</v>
      </c>
      <c r="D49" s="24" t="str">
        <f>IFERROR(__xludf.DUMMYFUNCTION("""COMPUTED_VALUE"""),"UFRGS")</f>
        <v>UFRGS</v>
      </c>
      <c r="E49" s="25">
        <f>IFERROR(__xludf.DUMMYFUNCTION("""COMPUTED_VALUE"""),2010.0)</f>
        <v>2010</v>
      </c>
      <c r="F49" s="24" t="str">
        <f>IFERROR(__xludf.DUMMYFUNCTION("""COMPUTED_VALUE"""),"Agricultura; Desenvolvimento econômico; Políticas públicas; Projeto; Propriedade rural")</f>
        <v>Agricultura; Desenvolvimento econômico; Políticas públicas; Projeto; Propriedade rural</v>
      </c>
      <c r="G49" s="30" t="str">
        <f>IFERROR(__xludf.DUMMYFUNCTION("""COMPUTED_VALUE"""),"9788538601234")</f>
        <v>9788538601234</v>
      </c>
      <c r="H49" s="29" t="str">
        <f>IFERROR(__xludf.DUMMYFUNCTION("""COMPUTED_VALUE"""),"http://hdl.handle.net/10183/56502")</f>
        <v>http://hdl.handle.net/10183/56502</v>
      </c>
      <c r="I49" s="24" t="str">
        <f>IFERROR(__xludf.DUMMYFUNCTION("""COMPUTED_VALUE"""),"Ciências Agrárias")</f>
        <v>Ciências Agrárias</v>
      </c>
    </row>
    <row r="50">
      <c r="A50" s="24" t="str">
        <f>IFERROR(__xludf.DUMMYFUNCTION("""COMPUTED_VALUE"""),"Elaboração e avaliação de projetos para agroindústrias")</f>
        <v>Elaboração e avaliação de projetos para agroindústrias</v>
      </c>
      <c r="B50" s="24" t="str">
        <f>IFERROR(__xludf.DUMMYFUNCTION("""COMPUTED_VALUE"""),"Cardoso, Susana; Rubensam, Jane Maria ")</f>
        <v>Cardoso, Susana; Rubensam, Jane Maria </v>
      </c>
      <c r="C50" s="24" t="str">
        <f>IFERROR(__xludf.DUMMYFUNCTION("""COMPUTED_VALUE"""),"Porto Alegre")</f>
        <v>Porto Alegre</v>
      </c>
      <c r="D50" s="24" t="str">
        <f>IFERROR(__xludf.DUMMYFUNCTION("""COMPUTED_VALUE"""),"UFRGS")</f>
        <v>UFRGS</v>
      </c>
      <c r="E50" s="25">
        <f>IFERROR(__xludf.DUMMYFUNCTION("""COMPUTED_VALUE"""),2018.0)</f>
        <v>2018</v>
      </c>
      <c r="F50" s="24" t="str">
        <f>IFERROR(__xludf.DUMMYFUNCTION("""COMPUTED_VALUE"""),"Agroindústria; Desenvolvimento rural; Elaboração de projetos; Projetos de pesquisa : Metodologia")</f>
        <v>Agroindústria; Desenvolvimento rural; Elaboração de projetos; Projetos de pesquisa : Metodologia</v>
      </c>
      <c r="G50" s="30" t="str">
        <f>IFERROR(__xludf.DUMMYFUNCTION("""COMPUTED_VALUE"""),"9788538604204 (pdf); 9788538604211 (epub)")</f>
        <v>9788538604204 (pdf); 9788538604211 (epub)</v>
      </c>
      <c r="H50" s="29" t="str">
        <f>IFERROR(__xludf.DUMMYFUNCTION("""COMPUTED_VALUE"""),"http://hdl.handle.net/10183/179684")</f>
        <v>http://hdl.handle.net/10183/179684</v>
      </c>
      <c r="I50" s="24" t="str">
        <f>IFERROR(__xludf.DUMMYFUNCTION("""COMPUTED_VALUE"""),"Ciências Agrárias")</f>
        <v>Ciências Agrárias</v>
      </c>
    </row>
    <row r="51">
      <c r="A51" s="24" t="str">
        <f>IFERROR(__xludf.DUMMYFUNCTION("""COMPUTED_VALUE"""),"Engenho de cana-de-açúcar na Paraíba: por uma sociologia da cachaça")</f>
        <v>Engenho de cana-de-açúcar na Paraíba: por uma sociologia da cachaça</v>
      </c>
      <c r="B51" s="24" t="str">
        <f>IFERROR(__xludf.DUMMYFUNCTION("""COMPUTED_VALUE"""),"José Luciano Albino Barbosa")</f>
        <v>José Luciano Albino Barbosa</v>
      </c>
      <c r="C51" s="24" t="str">
        <f>IFERROR(__xludf.DUMMYFUNCTION("""COMPUTED_VALUE"""),"Campina Grande")</f>
        <v>Campina Grande</v>
      </c>
      <c r="D51" s="24" t="str">
        <f>IFERROR(__xludf.DUMMYFUNCTION("""COMPUTED_VALUE"""),"EDUEPB")</f>
        <v>EDUEPB</v>
      </c>
      <c r="E51" s="25">
        <f>IFERROR(__xludf.DUMMYFUNCTION("""COMPUTED_VALUE"""),2014.0)</f>
        <v>2014</v>
      </c>
      <c r="F51" s="24" t="str">
        <f>IFERROR(__xludf.DUMMYFUNCTION("""COMPUTED_VALUE"""),"Cana-de-açúcar. Cachaça. Engenhos de cana-de-açúcar. Rapadura. Mel. Tecnologia de bebidas alcoólicas ")</f>
        <v>Cana-de-açúcar. Cachaça. Engenhos de cana-de-açúcar. Rapadura. Mel. Tecnologia de bebidas alcoólicas </v>
      </c>
      <c r="G51" s="30" t="str">
        <f>IFERROR(__xludf.DUMMYFUNCTION("""COMPUTED_VALUE"""),"9788578792015")</f>
        <v>9788578792015</v>
      </c>
      <c r="H51" s="29" t="str">
        <f>IFERROR(__xludf.DUMMYFUNCTION("""COMPUTED_VALUE"""),"http://eduepb.uepb.edu.br/download/engenho-de-cana-de-acucar-na-paraiba-por-uma-sociologia-da-cachaca/?wpdmdl=181&amp;amp;masterkey=5af99a3c398fd")</f>
        <v>http://eduepb.uepb.edu.br/download/engenho-de-cana-de-acucar-na-paraiba-por-uma-sociologia-da-cachaca/?wpdmdl=181&amp;amp;masterkey=5af99a3c398fd</v>
      </c>
      <c r="I51" s="24" t="str">
        <f>IFERROR(__xludf.DUMMYFUNCTION("""COMPUTED_VALUE"""),"Ciências Agrárias")</f>
        <v>Ciências Agrárias</v>
      </c>
    </row>
    <row r="52">
      <c r="A52" s="24" t="str">
        <f>IFERROR(__xludf.DUMMYFUNCTION("""COMPUTED_VALUE"""),"Erva-mate: sistema de produção e processamento industrial ")</f>
        <v>Erva-mate: sistema de produção e processamento industrial </v>
      </c>
      <c r="B52" s="24" t="str">
        <f>IFERROR(__xludf.DUMMYFUNCTION("""COMPUTED_VALUE"""),"Omar Daniel")</f>
        <v>Omar Daniel</v>
      </c>
      <c r="C52" s="24" t="str">
        <f>IFERROR(__xludf.DUMMYFUNCTION("""COMPUTED_VALUE"""),"Dourados, MS")</f>
        <v>Dourados, MS</v>
      </c>
      <c r="D52" s="24" t="str">
        <f>IFERROR(__xludf.DUMMYFUNCTION("""COMPUTED_VALUE"""),"Ed. UFGD")</f>
        <v>Ed. UFGD</v>
      </c>
      <c r="E52" s="25">
        <f>IFERROR(__xludf.DUMMYFUNCTION("""COMPUTED_VALUE"""),2009.0)</f>
        <v>2009</v>
      </c>
      <c r="F52" s="24" t="str">
        <f>IFERROR(__xludf.DUMMYFUNCTION("""COMPUTED_VALUE"""),"Erva-mate – Cultivo; Erva-mate – Industria-lização; Erva-mate – Sistema de produção")</f>
        <v>Erva-mate – Cultivo; Erva-mate – Industria-lização; Erva-mate – Sistema de produção</v>
      </c>
      <c r="G52" s="30" t="str">
        <f>IFERROR(__xludf.DUMMYFUNCTION("""COMPUTED_VALUE"""),"9788561228521")</f>
        <v>9788561228521</v>
      </c>
      <c r="H52" s="29" t="str">
        <f>IFERROR(__xludf.DUMMYFUNCTION("""COMPUTED_VALUE"""),"http://omp.ufgd.edu.br/omp/index.php/livrosabertos/catalog/view/98/104/380-1")</f>
        <v>http://omp.ufgd.edu.br/omp/index.php/livrosabertos/catalog/view/98/104/380-1</v>
      </c>
      <c r="I52" s="24" t="str">
        <f>IFERROR(__xludf.DUMMYFUNCTION("""COMPUTED_VALUE"""),"Ciências Agrárias")</f>
        <v>Ciências Agrárias</v>
      </c>
    </row>
    <row r="53">
      <c r="A53" s="24" t="str">
        <f>IFERROR(__xludf.DUMMYFUNCTION("""COMPUTED_VALUE"""),"Ervais em queda transformações no campo no extremo sul de Mato Grosso (1940-1970)")</f>
        <v>Ervais em queda transformações no campo no extremo sul de Mato Grosso (1940-1970)</v>
      </c>
      <c r="B53" s="24" t="str">
        <f>IFERROR(__xludf.DUMMYFUNCTION("""COMPUTED_VALUE"""),"Jocimar Lomba Albanez")</f>
        <v>Jocimar Lomba Albanez</v>
      </c>
      <c r="C53" s="24" t="str">
        <f>IFERROR(__xludf.DUMMYFUNCTION("""COMPUTED_VALUE"""),"Dourados, MS")</f>
        <v>Dourados, MS</v>
      </c>
      <c r="D53" s="24" t="str">
        <f>IFERROR(__xludf.DUMMYFUNCTION("""COMPUTED_VALUE"""),"Ed. UFGD")</f>
        <v>Ed. UFGD</v>
      </c>
      <c r="E53" s="25">
        <f>IFERROR(__xludf.DUMMYFUNCTION("""COMPUTED_VALUE"""),2013.0)</f>
        <v>2013</v>
      </c>
      <c r="F53" s="24" t="str">
        <f>IFERROR(__xludf.DUMMYFUNCTION("""COMPUTED_VALUE"""),"Ocupação de terras – Mato Grosso; Erva-mate")</f>
        <v>Ocupação de terras – Mato Grosso; Erva-mate</v>
      </c>
      <c r="G53" s="30" t="str">
        <f>IFERROR(__xludf.DUMMYFUNCTION("""COMPUTED_VALUE"""),"9788561228972")</f>
        <v>9788561228972</v>
      </c>
      <c r="H53" s="29" t="str">
        <f>IFERROR(__xludf.DUMMYFUNCTION("""COMPUTED_VALUE"""),"http://omp.ufgd.edu.br/omp/index.php/livrosabertos/catalog/view/99/105/381-1")</f>
        <v>http://omp.ufgd.edu.br/omp/index.php/livrosabertos/catalog/view/99/105/381-1</v>
      </c>
      <c r="I53" s="24" t="str">
        <f>IFERROR(__xludf.DUMMYFUNCTION("""COMPUTED_VALUE"""),"Ciências Agrárias")</f>
        <v>Ciências Agrárias</v>
      </c>
    </row>
    <row r="54">
      <c r="A54" s="24" t="str">
        <f>IFERROR(__xludf.DUMMYFUNCTION("""COMPUTED_VALUE"""),"Experiências Agroecológicas")</f>
        <v>Experiências Agroecológicas</v>
      </c>
      <c r="B54" s="24" t="str">
        <f>IFERROR(__xludf.DUMMYFUNCTION("""COMPUTED_VALUE"""),"(org.) João Vianey Fernandes Pimentel, José Wilson Costa de Carvalho, Júlio Justino de Araújo e Renato Silva de Castro")</f>
        <v>(org.) João Vianey Fernandes Pimentel, José Wilson Costa de Carvalho, Júlio Justino de Araújo e Renato Silva de Castro</v>
      </c>
      <c r="C54" s="24" t="str">
        <f>IFERROR(__xludf.DUMMYFUNCTION("""COMPUTED_VALUE"""),"João Pessoa")</f>
        <v>João Pessoa</v>
      </c>
      <c r="D54" s="24" t="str">
        <f>IFERROR(__xludf.DUMMYFUNCTION("""COMPUTED_VALUE"""),"Editora IFPB")</f>
        <v>Editora IFPB</v>
      </c>
      <c r="E54" s="25">
        <f>IFERROR(__xludf.DUMMYFUNCTION("""COMPUTED_VALUE"""),2019.0)</f>
        <v>2019</v>
      </c>
      <c r="F54" s="24" t="str">
        <f>IFERROR(__xludf.DUMMYFUNCTION("""COMPUTED_VALUE"""),"Agroecologia; Experiências agroecológicas; Agronomia; Ecologia")</f>
        <v>Agroecologia; Experiências agroecológicas; Agronomia; Ecologia</v>
      </c>
      <c r="G54" s="30" t="str">
        <f>IFERROR(__xludf.DUMMYFUNCTION("""COMPUTED_VALUE"""),"9788554885298")</f>
        <v>9788554885298</v>
      </c>
      <c r="H54" s="29" t="str">
        <f>IFERROR(__xludf.DUMMYFUNCTION("""COMPUTED_VALUE"""),"http://editora.ifpb.edu.br/index.php/ifpb/catalog/book/348")</f>
        <v>http://editora.ifpb.edu.br/index.php/ifpb/catalog/book/348</v>
      </c>
      <c r="I54" s="24" t="str">
        <f>IFERROR(__xludf.DUMMYFUNCTION("""COMPUTED_VALUE"""),"Ciências Agrárias")</f>
        <v>Ciências Agrárias</v>
      </c>
    </row>
    <row r="55">
      <c r="A55" s="24" t="str">
        <f>IFERROR(__xludf.DUMMYFUNCTION("""COMPUTED_VALUE"""),"Experimentos na Educação em Solos")</f>
        <v>Experimentos na Educação em Solos</v>
      </c>
      <c r="B55" s="24" t="str">
        <f>IFERROR(__xludf.DUMMYFUNCTION("""COMPUTED_VALUE"""),"Lima, Marcelo Ricardo de")</f>
        <v>Lima, Marcelo Ricardo de</v>
      </c>
      <c r="C55" s="24" t="str">
        <f>IFERROR(__xludf.DUMMYFUNCTION("""COMPUTED_VALUE"""),"Curitiba")</f>
        <v>Curitiba</v>
      </c>
      <c r="D55" s="24" t="str">
        <f>IFERROR(__xludf.DUMMYFUNCTION("""COMPUTED_VALUE"""),"UFPR - Programa de Extensão Universitária Solo na Escola")</f>
        <v>UFPR - Programa de Extensão Universitária Solo na Escola</v>
      </c>
      <c r="E55" s="25">
        <f>IFERROR(__xludf.DUMMYFUNCTION("""COMPUTED_VALUE"""),2020.0)</f>
        <v>2020</v>
      </c>
      <c r="F55" s="24" t="str">
        <f>IFERROR(__xludf.DUMMYFUNCTION("""COMPUTED_VALUE"""),"Solos; Experimentos; Ciências do Solo; Pratica de ensino - Coletânea")</f>
        <v>Solos; Experimentos; Ciências do Solo; Pratica de ensino - Coletânea</v>
      </c>
      <c r="G55" s="30" t="str">
        <f>IFERROR(__xludf.DUMMYFUNCTION("""COMPUTED_VALUE"""),"9786586233131")</f>
        <v>9786586233131</v>
      </c>
      <c r="H55" s="29" t="str">
        <f>IFERROR(__xludf.DUMMYFUNCTION("""COMPUTED_VALUE"""),"https://hdl.handle.net/1884/67900")</f>
        <v>https://hdl.handle.net/1884/67900</v>
      </c>
      <c r="I55" s="24" t="str">
        <f>IFERROR(__xludf.DUMMYFUNCTION("""COMPUTED_VALUE"""),"Ciências Agrárias")</f>
        <v>Ciências Agrárias</v>
      </c>
    </row>
    <row r="56">
      <c r="A56" s="24" t="str">
        <f>IFERROR(__xludf.DUMMYFUNCTION("""COMPUTED_VALUE"""),"Gestão e planejamento de agroindústrias familiares")</f>
        <v>Gestão e planejamento de agroindústrias familiares</v>
      </c>
      <c r="B56" s="24" t="str">
        <f>IFERROR(__xludf.DUMMYFUNCTION("""COMPUTED_VALUE"""),"Wives, Daniela Garcez; Kühn, Daniela Dias ")</f>
        <v>Wives, Daniela Garcez; Kühn, Daniela Dias </v>
      </c>
      <c r="C56" s="24" t="str">
        <f>IFERROR(__xludf.DUMMYFUNCTION("""COMPUTED_VALUE"""),"Porto Alegre")</f>
        <v>Porto Alegre</v>
      </c>
      <c r="D56" s="24" t="str">
        <f>IFERROR(__xludf.DUMMYFUNCTION("""COMPUTED_VALUE"""),"UFRGS")</f>
        <v>UFRGS</v>
      </c>
      <c r="E56" s="25">
        <f>IFERROR(__xludf.DUMMYFUNCTION("""COMPUTED_VALUE"""),2018.0)</f>
        <v>2018</v>
      </c>
      <c r="F56" s="24" t="str">
        <f>IFERROR(__xludf.DUMMYFUNCTION("""COMPUTED_VALUE"""),"Administração financeira; Agroindustrias; Contabilidade; Desenvolvimento rural; Economia")</f>
        <v>Administração financeira; Agroindustrias; Contabilidade; Desenvolvimento rural; Economia</v>
      </c>
      <c r="G56" s="30" t="str">
        <f>IFERROR(__xludf.DUMMYFUNCTION("""COMPUTED_VALUE"""),"9788538604471 (pdf) 	9788538604488 (epub)")</f>
        <v>9788538604471 (pdf) 	9788538604488 (epub)</v>
      </c>
      <c r="H56" s="29" t="str">
        <f>IFERROR(__xludf.DUMMYFUNCTION("""COMPUTED_VALUE"""),"http://hdl.handle.net/10183/185826")</f>
        <v>http://hdl.handle.net/10183/185826</v>
      </c>
      <c r="I56" s="24" t="str">
        <f>IFERROR(__xludf.DUMMYFUNCTION("""COMPUTED_VALUE"""),"Ciências Agrárias")</f>
        <v>Ciências Agrárias</v>
      </c>
    </row>
    <row r="57">
      <c r="A57" s="24" t="str">
        <f>IFERROR(__xludf.DUMMYFUNCTION("""COMPUTED_VALUE"""),"Gestão e planejamento de organizações agroindustriais")</f>
        <v>Gestão e planejamento de organizações agroindustriais</v>
      </c>
      <c r="B57" s="24" t="str">
        <f>IFERROR(__xludf.DUMMYFUNCTION("""COMPUTED_VALUE"""),"Revillion, Jean Philippe Palma; Badejo, Marcelo Silveira ")</f>
        <v>Revillion, Jean Philippe Palma; Badejo, Marcelo Silveira </v>
      </c>
      <c r="C57" s="24" t="str">
        <f>IFERROR(__xludf.DUMMYFUNCTION("""COMPUTED_VALUE"""),"Porto Alegre")</f>
        <v>Porto Alegre</v>
      </c>
      <c r="D57" s="24" t="str">
        <f>IFERROR(__xludf.DUMMYFUNCTION("""COMPUTED_VALUE"""),"UFRGS")</f>
        <v>UFRGS</v>
      </c>
      <c r="E57" s="25">
        <f>IFERROR(__xludf.DUMMYFUNCTION("""COMPUTED_VALUE"""),2011.0)</f>
        <v>2011</v>
      </c>
      <c r="F57" s="24" t="str">
        <f>IFERROR(__xludf.DUMMYFUNCTION("""COMPUTED_VALUE"""),"Agroindustrias; Gestão econômica; Planejamento : Agroindústria : Alimento : Rio Grande do Sul")</f>
        <v>Agroindustrias; Gestão econômica; Planejamento : Agroindústria : Alimento : Rio Grande do Sul</v>
      </c>
      <c r="G57" s="30" t="str">
        <f>IFERROR(__xludf.DUMMYFUNCTION("""COMPUTED_VALUE"""),"9788538601494")</f>
        <v>9788538601494</v>
      </c>
      <c r="H57" s="29" t="str">
        <f>IFERROR(__xludf.DUMMYFUNCTION("""COMPUTED_VALUE"""),"http://hdl.handle.net/10183/56451")</f>
        <v>http://hdl.handle.net/10183/56451</v>
      </c>
      <c r="I57" s="24" t="str">
        <f>IFERROR(__xludf.DUMMYFUNCTION("""COMPUTED_VALUE"""),"Ciências Agrárias")</f>
        <v>Ciências Agrárias</v>
      </c>
    </row>
    <row r="58">
      <c r="A58" s="24" t="str">
        <f>IFERROR(__xludf.DUMMYFUNCTION("""COMPUTED_VALUE"""),"Gestão e planejamento de unidades de produção agrícola")</f>
        <v>Gestão e planejamento de unidades de produção agrícola</v>
      </c>
      <c r="B58" s="24" t="str">
        <f>IFERROR(__xludf.DUMMYFUNCTION("""COMPUTED_VALUE"""),"Wagner, Saionara Araujo; Giasson, Elvio; Miguel, Lovois de Andrade; Machado, Joao Armando Dessimon ")</f>
        <v>Wagner, Saionara Araujo; Giasson, Elvio; Miguel, Lovois de Andrade; Machado, Joao Armando Dessimon </v>
      </c>
      <c r="C58" s="24" t="str">
        <f>IFERROR(__xludf.DUMMYFUNCTION("""COMPUTED_VALUE"""),"Porto Alegre")</f>
        <v>Porto Alegre</v>
      </c>
      <c r="D58" s="24" t="str">
        <f>IFERROR(__xludf.DUMMYFUNCTION("""COMPUTED_VALUE"""),"UFRGS")</f>
        <v>UFRGS</v>
      </c>
      <c r="E58" s="25">
        <f>IFERROR(__xludf.DUMMYFUNCTION("""COMPUTED_VALUE"""),2010.0)</f>
        <v>2010</v>
      </c>
      <c r="F58" s="24" t="str">
        <f>IFERROR(__xludf.DUMMYFUNCTION("""COMPUTED_VALUE"""),"Agricultura; Desenvolvimento rural; Economia agrícola; Produção agrícola")</f>
        <v>Agricultura; Desenvolvimento rural; Economia agrícola; Produção agrícola</v>
      </c>
      <c r="G58" s="30" t="str">
        <f>IFERROR(__xludf.DUMMYFUNCTION("""COMPUTED_VALUE"""),"9788538601265")</f>
        <v>9788538601265</v>
      </c>
      <c r="H58" s="29" t="str">
        <f>IFERROR(__xludf.DUMMYFUNCTION("""COMPUTED_VALUE"""),"http://hdl.handle.net/10183/56458")</f>
        <v>http://hdl.handle.net/10183/56458</v>
      </c>
      <c r="I58" s="24" t="str">
        <f>IFERROR(__xludf.DUMMYFUNCTION("""COMPUTED_VALUE"""),"Ciências Agrárias")</f>
        <v>Ciências Agrárias</v>
      </c>
    </row>
    <row r="59">
      <c r="A59" s="24" t="str">
        <f>IFERROR(__xludf.DUMMYFUNCTION("""COMPUTED_VALUE"""),"GLOSSÁRIO TEMÁTICO BILINGUE DE TERMOS UTILIZADOS NA ATIVIDADE PESQUEIRA DE CABEDELO – PB")</f>
        <v>GLOSSÁRIO TEMÁTICO BILINGUE DE TERMOS UTILIZADOS NA ATIVIDADE PESQUEIRA DE CABEDELO – PB</v>
      </c>
      <c r="B59" s="24" t="str">
        <f>IFERROR(__xludf.DUMMYFUNCTION("""COMPUTED_VALUE"""),"Gênison Carneiro Silva, Jonas de Assis Almeida Ramos, Reginaldo Florêncio da Silva Júnior")</f>
        <v>Gênison Carneiro Silva, Jonas de Assis Almeida Ramos, Reginaldo Florêncio da Silva Júnior</v>
      </c>
      <c r="C59" s="24" t="str">
        <f>IFERROR(__xludf.DUMMYFUNCTION("""COMPUTED_VALUE"""),"João Pessoa")</f>
        <v>João Pessoa</v>
      </c>
      <c r="D59" s="24" t="str">
        <f>IFERROR(__xludf.DUMMYFUNCTION("""COMPUTED_VALUE"""),"Editora IFPB")</f>
        <v>Editora IFPB</v>
      </c>
      <c r="E59" s="25">
        <f>IFERROR(__xludf.DUMMYFUNCTION("""COMPUTED_VALUE"""),2018.0)</f>
        <v>2018</v>
      </c>
      <c r="F59" s="24" t="str">
        <f>IFERROR(__xludf.DUMMYFUNCTION("""COMPUTED_VALUE"""),"Glossário de pesca; Pesca – Paraíba; Cabedelo, PB; Glossário bilíngue")</f>
        <v>Glossário de pesca; Pesca – Paraíba; Cabedelo, PB; Glossário bilíngue</v>
      </c>
      <c r="G59" s="30" t="str">
        <f>IFERROR(__xludf.DUMMYFUNCTION("""COMPUTED_VALUE"""),"9788554490102")</f>
        <v>9788554490102</v>
      </c>
      <c r="H59" s="29" t="str">
        <f>IFERROR(__xludf.DUMMYFUNCTION("""COMPUTED_VALUE"""),"http://editora.ifpb.edu.br/index.php/ifpb/catalog/book/71")</f>
        <v>http://editora.ifpb.edu.br/index.php/ifpb/catalog/book/71</v>
      </c>
      <c r="I59" s="24" t="str">
        <f>IFERROR(__xludf.DUMMYFUNCTION("""COMPUTED_VALUE"""),"Ciências Agrárias")</f>
        <v>Ciências Agrárias</v>
      </c>
    </row>
    <row r="60">
      <c r="A60" s="24" t="str">
        <f>IFERROR(__xludf.DUMMYFUNCTION("""COMPUTED_VALUE"""),"Historia da escola agronômica do Paraná: 1918-1993")</f>
        <v>Historia da escola agronômica do Paraná: 1918-1993</v>
      </c>
      <c r="B60" s="24" t="str">
        <f>IFERROR(__xludf.DUMMYFUNCTION("""COMPUTED_VALUE"""),"Doni Filho, Luiz")</f>
        <v>Doni Filho, Luiz</v>
      </c>
      <c r="C60" s="24" t="str">
        <f>IFERROR(__xludf.DUMMYFUNCTION("""COMPUTED_VALUE"""),"Curitiba")</f>
        <v>Curitiba</v>
      </c>
      <c r="D60" s="24" t="str">
        <f>IFERROR(__xludf.DUMMYFUNCTION("""COMPUTED_VALUE"""),"UFPR")</f>
        <v>UFPR</v>
      </c>
      <c r="E60" s="25">
        <f>IFERROR(__xludf.DUMMYFUNCTION("""COMPUTED_VALUE"""),1995.0)</f>
        <v>1995</v>
      </c>
      <c r="F60" s="24" t="str">
        <f>IFERROR(__xludf.DUMMYFUNCTION("""COMPUTED_VALUE"""),"Universidades e Faculdades - História - Paraná; Ensino Superior - Agricultura - História - Paraná; Ensino Agricola - História - Paraná")</f>
        <v>Universidades e Faculdades - História - Paraná; Ensino Superior - Agricultura - História - Paraná; Ensino Agricola - História - Paraná</v>
      </c>
      <c r="G60" s="30" t="str">
        <f>IFERROR(__xludf.DUMMYFUNCTION("""COMPUTED_VALUE"""),"8585132868")</f>
        <v>8585132868</v>
      </c>
      <c r="H60" s="29" t="str">
        <f>IFERROR(__xludf.DUMMYFUNCTION("""COMPUTED_VALUE"""),"https://hdl.handle.net/1884/63988")</f>
        <v>https://hdl.handle.net/1884/63988</v>
      </c>
      <c r="I60" s="24" t="str">
        <f>IFERROR(__xludf.DUMMYFUNCTION("""COMPUTED_VALUE"""),"Ciências Agrárias")</f>
        <v>Ciências Agrárias</v>
      </c>
    </row>
    <row r="61">
      <c r="A61" s="24" t="str">
        <f>IFERROR(__xludf.DUMMYFUNCTION("""COMPUTED_VALUE"""),"Industrialização e relação de produção nas fecularias de Mato Grosso do Sul")</f>
        <v>Industrialização e relação de produção nas fecularias de Mato Grosso do Sul</v>
      </c>
      <c r="B61" s="24" t="str">
        <f>IFERROR(__xludf.DUMMYFUNCTION("""COMPUTED_VALUE"""),"Ucleber Gomes Costa ")</f>
        <v>Ucleber Gomes Costa </v>
      </c>
      <c r="C61" s="24" t="str">
        <f>IFERROR(__xludf.DUMMYFUNCTION("""COMPUTED_VALUE"""),"Dourados, MS")</f>
        <v>Dourados, MS</v>
      </c>
      <c r="D61" s="24" t="str">
        <f>IFERROR(__xludf.DUMMYFUNCTION("""COMPUTED_VALUE"""),"Ed. da UFGD")</f>
        <v>Ed. da UFGD</v>
      </c>
      <c r="E61" s="25">
        <f>IFERROR(__xludf.DUMMYFUNCTION("""COMPUTED_VALUE"""),2014.0)</f>
        <v>2014</v>
      </c>
      <c r="F61" s="24" t="str">
        <f>IFERROR(__xludf.DUMMYFUNCTION("""COMPUTED_VALUE"""),"Fecularias; Industrialização – Mato Grosso do Sul; Territorialização")</f>
        <v>Fecularias; Industrialização – Mato Grosso do Sul; Territorialização</v>
      </c>
      <c r="G61" s="30" t="str">
        <f>IFERROR(__xludf.DUMMYFUNCTION("""COMPUTED_VALUE"""),"9788581471068")</f>
        <v>9788581471068</v>
      </c>
      <c r="H61" s="29" t="str">
        <f>IFERROR(__xludf.DUMMYFUNCTION("""COMPUTED_VALUE"""),"http://omp.ufgd.edu.br/omp/index.php/livrosabertos/catalog/view/240/123/402-1")</f>
        <v>http://omp.ufgd.edu.br/omp/index.php/livrosabertos/catalog/view/240/123/402-1</v>
      </c>
      <c r="I61" s="24" t="str">
        <f>IFERROR(__xludf.DUMMYFUNCTION("""COMPUTED_VALUE"""),"Ciências Agrárias")</f>
        <v>Ciências Agrárias</v>
      </c>
    </row>
    <row r="62">
      <c r="A62" s="24" t="str">
        <f>IFERROR(__xludf.DUMMYFUNCTION("""COMPUTED_VALUE"""),"Manejo da irrigação via clima na cultura da maçã*")</f>
        <v>Manejo da irrigação via clima na cultura da maçã*</v>
      </c>
      <c r="B62" s="24" t="str">
        <f>IFERROR(__xludf.DUMMYFUNCTION("""COMPUTED_VALUE"""),"André, Belmont, Pereira")</f>
        <v>André, Belmont, Pereira</v>
      </c>
      <c r="C62" s="24" t="str">
        <f>IFERROR(__xludf.DUMMYFUNCTION("""COMPUTED_VALUE"""),"Ponta Grossa")</f>
        <v>Ponta Grossa</v>
      </c>
      <c r="D62" s="24" t="str">
        <f>IFERROR(__xludf.DUMMYFUNCTION("""COMPUTED_VALUE"""),"Editora UEPG")</f>
        <v>Editora UEPG</v>
      </c>
      <c r="E62" s="25">
        <f>IFERROR(__xludf.DUMMYFUNCTION("""COMPUTED_VALUE"""),2019.0)</f>
        <v>2019</v>
      </c>
      <c r="F62" s="24" t="str">
        <f>IFERROR(__xludf.DUMMYFUNCTION("""COMPUTED_VALUE"""),"Esta obra, longe de pretender esgotar o assunto, busca abordar conceitos básicos utilizados na agricultura irrigada via elementos de clima, bem como explanar de forma sucinta as relações hídricas na cultura da macieira, enfatizando a contribuição dos fato"&amp;"res ambientais e fisiológicos sobre o manejo racional da água. Também serão demonstrados os principais sistemas de irrigação, as práticas de manejo e a adoção da irrigação como uma medida de controle direto de geadas verdadeiras na cultura em estudo")</f>
        <v>Esta obra, longe de pretender esgotar o assunto, busca abordar conceitos básicos utilizados na agricultura irrigada via elementos de clima, bem como explanar de forma sucinta as relações hídricas na cultura da macieira, enfatizando a contribuição dos fatores ambientais e fisiológicos sobre o manejo racional da água. Também serão demonstrados os principais sistemas de irrigação, as práticas de manejo e a adoção da irrigação como uma medida de controle direto de geadas verdadeiras na cultura em estudo</v>
      </c>
      <c r="G62" s="30" t="str">
        <f>IFERROR(__xludf.DUMMYFUNCTION("""COMPUTED_VALUE"""),"97885772585")</f>
        <v>97885772585</v>
      </c>
      <c r="H62" s="29" t="str">
        <f>IFERROR(__xludf.DUMMYFUNCTION("""COMPUTED_VALUE"""),"https://portal-archipelagus.azurewebsites.net/farol/eduepg/ebook/manejo-da-irrigacao-via-clima-na-cultura-da-maca/1205217/")</f>
        <v>https://portal-archipelagus.azurewebsites.net/farol/eduepg/ebook/manejo-da-irrigacao-via-clima-na-cultura-da-maca/1205217/</v>
      </c>
      <c r="I62" s="24" t="str">
        <f>IFERROR(__xludf.DUMMYFUNCTION("""COMPUTED_VALUE"""),"Ciências Agrárias")</f>
        <v>Ciências Agrárias</v>
      </c>
    </row>
    <row r="63">
      <c r="A63" s="24" t="str">
        <f>IFERROR(__xludf.DUMMYFUNCTION("""COMPUTED_VALUE"""),"Manejo integrado das pragas da gravioleira no Sul da Bahia")</f>
        <v>Manejo integrado das pragas da gravioleira no Sul da Bahia</v>
      </c>
      <c r="B63" s="24" t="str">
        <f>IFERROR(__xludf.DUMMYFUNCTION("""COMPUTED_VALUE"""),"José Inácio Lacerda Moura, Maria Aparecida; Leão Bittencourt")</f>
        <v>José Inácio Lacerda Moura, Maria Aparecida; Leão Bittencourt</v>
      </c>
      <c r="C63" s="24" t="str">
        <f>IFERROR(__xludf.DUMMYFUNCTION("""COMPUTED_VALUE"""),"Ilhéus, BA")</f>
        <v>Ilhéus, BA</v>
      </c>
      <c r="D63" s="24" t="str">
        <f>IFERROR(__xludf.DUMMYFUNCTION("""COMPUTED_VALUE"""),"Editus")</f>
        <v>Editus</v>
      </c>
      <c r="E63" s="25">
        <f>IFERROR(__xludf.DUMMYFUNCTION("""COMPUTED_VALUE"""),2015.0)</f>
        <v>2015</v>
      </c>
      <c r="F63" s="24" t="str">
        <f>IFERROR(__xludf.DUMMYFUNCTION("""COMPUTED_VALUE"""),"Graviola – Doenças e pragas – Controle; Graviola; – Cultivo")</f>
        <v>Graviola – Doenças e pragas – Controle; Graviola; – Cultivo</v>
      </c>
      <c r="G63" s="30" t="str">
        <f>IFERROR(__xludf.DUMMYFUNCTION("""COMPUTED_VALUE"""),"9788574553771")</f>
        <v>9788574553771</v>
      </c>
      <c r="H63" s="29" t="str">
        <f>IFERROR(__xludf.DUMMYFUNCTION("""COMPUTED_VALUE"""),"http://www.uesc.br/editora/livrosdigitais2019/manejo_integrado_das_pragas.pdf")</f>
        <v>http://www.uesc.br/editora/livrosdigitais2019/manejo_integrado_das_pragas.pdf</v>
      </c>
      <c r="I63" s="24" t="str">
        <f>IFERROR(__xludf.DUMMYFUNCTION("""COMPUTED_VALUE"""),"Ciências Agrárias")</f>
        <v>Ciências Agrárias</v>
      </c>
    </row>
    <row r="64">
      <c r="A64" s="24" t="str">
        <f>IFERROR(__xludf.DUMMYFUNCTION("""COMPUTED_VALUE"""),"Manual de boas práticas: técnicas de produção e análise de sementes florestais")</f>
        <v>Manual de boas práticas: técnicas de produção e análise de sementes florestais</v>
      </c>
      <c r="B64" s="24" t="str">
        <f>IFERROR(__xludf.DUMMYFUNCTION("""COMPUTED_VALUE"""),"Marilene de Campos Bento; Brenda Karolyne Oliveira de Melo; Andréa Alechandre da Rocha; Carlos Alberto Campos")</f>
        <v>Marilene de Campos Bento; Brenda Karolyne Oliveira de Melo; Andréa Alechandre da Rocha; Carlos Alberto Campos</v>
      </c>
      <c r="C64" s="24" t="str">
        <f>IFERROR(__xludf.DUMMYFUNCTION("""COMPUTED_VALUE"""),"Rio Branco")</f>
        <v>Rio Branco</v>
      </c>
      <c r="D64" s="24" t="str">
        <f>IFERROR(__xludf.DUMMYFUNCTION("""COMPUTED_VALUE"""),"Edufac")</f>
        <v>Edufac</v>
      </c>
      <c r="E64" s="25">
        <f>IFERROR(__xludf.DUMMYFUNCTION("""COMPUTED_VALUE"""),2019.0)</f>
        <v>2019</v>
      </c>
      <c r="F64" s="24" t="str">
        <f>IFERROR(__xludf.DUMMYFUNCTION("""COMPUTED_VALUE"""),"Sementes florestais; Florestas Tropicais; Manejo sustentável")</f>
        <v>Sementes florestais; Florestas Tropicais; Manejo sustentável</v>
      </c>
      <c r="G64" s="30" t="str">
        <f>IFERROR(__xludf.DUMMYFUNCTION("""COMPUTED_VALUE"""),"9788582361054")</f>
        <v>9788582361054</v>
      </c>
      <c r="H64" s="29" t="str">
        <f>IFERROR(__xludf.DUMMYFUNCTION("""COMPUTED_VALUE"""),"http://www2.ufac.br/editora/livros/LivroSementes18122019.pdf")</f>
        <v>http://www2.ufac.br/editora/livros/LivroSementes18122019.pdf</v>
      </c>
      <c r="I64" s="24" t="str">
        <f>IFERROR(__xludf.DUMMYFUNCTION("""COMPUTED_VALUE"""),"Ciências Agrárias")</f>
        <v>Ciências Agrárias</v>
      </c>
    </row>
    <row r="65">
      <c r="A65" s="24" t="str">
        <f>IFERROR(__xludf.DUMMYFUNCTION("""COMPUTED_VALUE"""),"Manual de controle das zoonoses e agravos")</f>
        <v>Manual de controle das zoonoses e agravos</v>
      </c>
      <c r="B65" s="24" t="str">
        <f>IFERROR(__xludf.DUMMYFUNCTION("""COMPUTED_VALUE"""),"Amanda Thaís Ferreira Silva, Daniel Friguglietti Brandespim, José Wilton Pinheiro Júnior")</f>
        <v>Amanda Thaís Ferreira Silva, Daniel Friguglietti Brandespim, José Wilton Pinheiro Júnior</v>
      </c>
      <c r="C65" s="24" t="str">
        <f>IFERROR(__xludf.DUMMYFUNCTION("""COMPUTED_VALUE"""),"Recife")</f>
        <v>Recife</v>
      </c>
      <c r="D65" s="24" t="str">
        <f>IFERROR(__xludf.DUMMYFUNCTION("""COMPUTED_VALUE"""),"Editora Universitária da UFRPE")</f>
        <v>Editora Universitária da UFRPE</v>
      </c>
      <c r="E65" s="25">
        <f>IFERROR(__xludf.DUMMYFUNCTION("""COMPUTED_VALUE"""),2017.0)</f>
        <v>2017</v>
      </c>
      <c r="F65" s="24" t="str">
        <f>IFERROR(__xludf.DUMMYFUNCTION("""COMPUTED_VALUE"""),"Zoonose; Controle; Epidemias; Agentes de saúde")</f>
        <v>Zoonose; Controle; Epidemias; Agentes de saúde</v>
      </c>
      <c r="G65" s="30" t="str">
        <f>IFERROR(__xludf.DUMMYFUNCTION("""COMPUTED_VALUE"""),"9788579462887")</f>
        <v>9788579462887</v>
      </c>
      <c r="H65" s="29" t="str">
        <f>IFERROR(__xludf.DUMMYFUNCTION("""COMPUTED_VALUE"""),"https://www.dropbox.com/s/3e1i4b69arev34p/Manual_zoonoses_web.pdf?dl=0")</f>
        <v>https://www.dropbox.com/s/3e1i4b69arev34p/Manual_zoonoses_web.pdf?dl=0</v>
      </c>
      <c r="I65" s="24" t="str">
        <f>IFERROR(__xludf.DUMMYFUNCTION("""COMPUTED_VALUE"""),"Ciências Agrárias")</f>
        <v>Ciências Agrárias</v>
      </c>
    </row>
    <row r="66">
      <c r="A66" s="24" t="str">
        <f>IFERROR(__xludf.DUMMYFUNCTION("""COMPUTED_VALUE"""),"Manual didático de estágio: Um roteiro comentado pelo professor para realização do programa de estágio supervisionado no curso de licenciatura em ciências agrícolas/agrárias")</f>
        <v>Manual didático de estágio: Um roteiro comentado pelo professor para realização do programa de estágio supervisionado no curso de licenciatura em ciências agrícolas/agrárias</v>
      </c>
      <c r="B66" s="24" t="str">
        <f>IFERROR(__xludf.DUMMYFUNCTION("""COMPUTED_VALUE"""),"Überson Boaretto Rossa")</f>
        <v>Überson Boaretto Rossa</v>
      </c>
      <c r="C66" s="24" t="str">
        <f>IFERROR(__xludf.DUMMYFUNCTION("""COMPUTED_VALUE"""),"Blumenau")</f>
        <v>Blumenau</v>
      </c>
      <c r="D66" s="24" t="str">
        <f>IFERROR(__xludf.DUMMYFUNCTION("""COMPUTED_VALUE"""),"Instituto Federal Catarinense")</f>
        <v>Instituto Federal Catarinense</v>
      </c>
      <c r="E66" s="25">
        <f>IFERROR(__xludf.DUMMYFUNCTION("""COMPUTED_VALUE"""),2019.0)</f>
        <v>2019</v>
      </c>
      <c r="F66" s="24" t="str">
        <f>IFERROR(__xludf.DUMMYFUNCTION("""COMPUTED_VALUE"""),"Fase de Observação. Estágio Supervisionado")</f>
        <v>Fase de Observação. Estágio Supervisionado</v>
      </c>
      <c r="G66" s="30" t="str">
        <f>IFERROR(__xludf.DUMMYFUNCTION("""COMPUTED_VALUE"""),"9788556440310")</f>
        <v>9788556440310</v>
      </c>
      <c r="H66" s="29" t="str">
        <f>IFERROR(__xludf.DUMMYFUNCTION("""COMPUTED_VALUE"""),"https://editora.ifc.edu.br/2019/03/29/manual-didatico-de-estagio-um-roteiro-comentado-pelo-professor-para-realizacao-do-programa-de-estagio-supervisionado-no-curso-de-licenciatura-em-ciencias-agricolas-agrarias/")</f>
        <v>https://editora.ifc.edu.br/2019/03/29/manual-didatico-de-estagio-um-roteiro-comentado-pelo-professor-para-realizacao-do-programa-de-estagio-supervisionado-no-curso-de-licenciatura-em-ciencias-agricolas-agrarias/</v>
      </c>
      <c r="I66" s="24" t="str">
        <f>IFERROR(__xludf.DUMMYFUNCTION("""COMPUTED_VALUE"""),"Ciências Agrárias")</f>
        <v>Ciências Agrárias</v>
      </c>
    </row>
    <row r="67">
      <c r="A67" s="24" t="str">
        <f>IFERROR(__xludf.DUMMYFUNCTION("""COMPUTED_VALUE"""),"Maracujá: avanços tecnológicos e sustentabilidade")</f>
        <v>Maracujá: avanços tecnológicos e sustentabilidade</v>
      </c>
      <c r="B67" s="24" t="str">
        <f>IFERROR(__xludf.DUMMYFUNCTION("""COMPUTED_VALUE"""),"Mônica de Moura Pires, Abel Rebouças São José, Aline Oliveira da Conceição (org.)")</f>
        <v>Mônica de Moura Pires, Abel Rebouças São José, Aline Oliveira da Conceição (org.)</v>
      </c>
      <c r="C67" s="24" t="str">
        <f>IFERROR(__xludf.DUMMYFUNCTION("""COMPUTED_VALUE"""),"Ilhéus, BA")</f>
        <v>Ilhéus, BA</v>
      </c>
      <c r="D67" s="24" t="str">
        <f>IFERROR(__xludf.DUMMYFUNCTION("""COMPUTED_VALUE"""),"Editus")</f>
        <v>Editus</v>
      </c>
      <c r="E67" s="25">
        <f>IFERROR(__xludf.DUMMYFUNCTION("""COMPUTED_VALUE"""),2011.0)</f>
        <v>2011</v>
      </c>
      <c r="F67" s="24" t="str">
        <f>IFERROR(__xludf.DUMMYFUNCTION("""COMPUTED_VALUE"""),"Maracujá – Cultivo – Brasil; Maracujá – Doenças e; pragas; Maracujá – Sustentabilidade")</f>
        <v>Maracujá – Cultivo – Brasil; Maracujá – Doenças e; pragas; Maracujá – Sustentabilidade</v>
      </c>
      <c r="G67" s="30" t="str">
        <f>IFERROR(__xludf.DUMMYFUNCTION("""COMPUTED_VALUE"""),"9788574552354")</f>
        <v>9788574552354</v>
      </c>
      <c r="H67" s="29" t="str">
        <f>IFERROR(__xludf.DUMMYFUNCTION("""COMPUTED_VALUE"""),"http://www.uesc.br/editora/livrosdigitais2016/maracuja_avancos_tecnologicos_sustentabilidade.pdf")</f>
        <v>http://www.uesc.br/editora/livrosdigitais2016/maracuja_avancos_tecnologicos_sustentabilidade.pdf</v>
      </c>
      <c r="I67" s="24" t="str">
        <f>IFERROR(__xludf.DUMMYFUNCTION("""COMPUTED_VALUE"""),"Ciências Agrárias")</f>
        <v>Ciências Agrárias</v>
      </c>
    </row>
    <row r="68">
      <c r="A68" s="24" t="str">
        <f>IFERROR(__xludf.DUMMYFUNCTION("""COMPUTED_VALUE"""),"Mastite: perguntas e respostas")</f>
        <v>Mastite: perguntas e respostas</v>
      </c>
      <c r="B68" s="24" t="str">
        <f>IFERROR(__xludf.DUMMYFUNCTION("""COMPUTED_VALUE"""),"Amanda Thaís Ferreira Silva, Rinaldo Aparecido Mota")</f>
        <v>Amanda Thaís Ferreira Silva, Rinaldo Aparecido Mota</v>
      </c>
      <c r="C68" s="24" t="str">
        <f>IFERROR(__xludf.DUMMYFUNCTION("""COMPUTED_VALUE"""),"Recife")</f>
        <v>Recife</v>
      </c>
      <c r="D68" s="24" t="str">
        <f>IFERROR(__xludf.DUMMYFUNCTION("""COMPUTED_VALUE"""),"Editora Universitária da UFRPE")</f>
        <v>Editora Universitária da UFRPE</v>
      </c>
      <c r="E68" s="25">
        <f>IFERROR(__xludf.DUMMYFUNCTION("""COMPUTED_VALUE"""),2019.0)</f>
        <v>2019</v>
      </c>
      <c r="F68" s="24" t="str">
        <f>IFERROR(__xludf.DUMMYFUNCTION("""COMPUTED_VALUE"""),"Mastite; Glândulas mamárias; Mamas; Leite; Infecções")</f>
        <v>Mastite; Glândulas mamárias; Mamas; Leite; Infecções</v>
      </c>
      <c r="G68" s="30" t="str">
        <f>IFERROR(__xludf.DUMMYFUNCTION("""COMPUTED_VALUE"""),"9788579463501")</f>
        <v>9788579463501</v>
      </c>
      <c r="H68" s="29" t="str">
        <f>IFERROR(__xludf.DUMMYFUNCTION("""COMPUTED_VALUE"""),"https://drive.google.com/file/d/1ZujvOjl_pNTp2fXXvkWdWWxF6wtVuHhG/view?usp=sharing ")</f>
        <v>https://drive.google.com/file/d/1ZujvOjl_pNTp2fXXvkWdWWxF6wtVuHhG/view?usp=sharing </v>
      </c>
      <c r="I68" s="24" t="str">
        <f>IFERROR(__xludf.DUMMYFUNCTION("""COMPUTED_VALUE"""),"Ciências Agrárias")</f>
        <v>Ciências Agrárias</v>
      </c>
    </row>
    <row r="69">
      <c r="A69" s="24" t="str">
        <f>IFERROR(__xludf.DUMMYFUNCTION("""COMPUTED_VALUE"""),"Mercados e comercialização de produtos agroindustriais")</f>
        <v>Mercados e comercialização de produtos agroindustriais</v>
      </c>
      <c r="B69" s="24" t="str">
        <f>IFERROR(__xludf.DUMMYFUNCTION("""COMPUTED_VALUE"""),"Miele, Marcelo; Waquil, Paulo Dabdab; Schultz, Glauco ")</f>
        <v>Miele, Marcelo; Waquil, Paulo Dabdab; Schultz, Glauco </v>
      </c>
      <c r="C69" s="24" t="str">
        <f>IFERROR(__xludf.DUMMYFUNCTION("""COMPUTED_VALUE"""),"Porto Alegre")</f>
        <v>Porto Alegre</v>
      </c>
      <c r="D69" s="24" t="str">
        <f>IFERROR(__xludf.DUMMYFUNCTION("""COMPUTED_VALUE"""),"UFRGS")</f>
        <v>UFRGS</v>
      </c>
      <c r="E69" s="25">
        <f>IFERROR(__xludf.DUMMYFUNCTION("""COMPUTED_VALUE"""),2011.0)</f>
        <v>2011</v>
      </c>
      <c r="F69" s="24" t="str">
        <f>IFERROR(__xludf.DUMMYFUNCTION("""COMPUTED_VALUE"""),"Comercialização; Estudo de caso; Mercado; Produto agrícola")</f>
        <v>Comercialização; Estudo de caso; Mercado; Produto agrícola</v>
      </c>
      <c r="G69" s="30" t="str">
        <f>IFERROR(__xludf.DUMMYFUNCTION("""COMPUTED_VALUE"""),"9788538601487")</f>
        <v>9788538601487</v>
      </c>
      <c r="H69" s="29" t="str">
        <f>IFERROR(__xludf.DUMMYFUNCTION("""COMPUTED_VALUE"""),"http://hdl.handle.net/10183/60481")</f>
        <v>http://hdl.handle.net/10183/60481</v>
      </c>
      <c r="I69" s="24" t="str">
        <f>IFERROR(__xludf.DUMMYFUNCTION("""COMPUTED_VALUE"""),"Ciências Agrárias")</f>
        <v>Ciências Agrárias</v>
      </c>
    </row>
    <row r="70">
      <c r="A70" s="24" t="str">
        <f>IFERROR(__xludf.DUMMYFUNCTION("""COMPUTED_VALUE"""),"Métodos e técnicas de pesquisa em bacias hidrográficas")</f>
        <v>Métodos e técnicas de pesquisa em bacias hidrográficas</v>
      </c>
      <c r="B70" s="24" t="str">
        <f>IFERROR(__xludf.DUMMYFUNCTION("""COMPUTED_VALUE"""),"Maria Eugênia Bruck de Moraes, Reinaldo; Lorandi (org.)")</f>
        <v>Maria Eugênia Bruck de Moraes, Reinaldo; Lorandi (org.)</v>
      </c>
      <c r="C70" s="24" t="str">
        <f>IFERROR(__xludf.DUMMYFUNCTION("""COMPUTED_VALUE"""),"Ilhéus, BA")</f>
        <v>Ilhéus, BA</v>
      </c>
      <c r="D70" s="24" t="str">
        <f>IFERROR(__xludf.DUMMYFUNCTION("""COMPUTED_VALUE"""),"Editus")</f>
        <v>Editus</v>
      </c>
      <c r="E70" s="25">
        <f>IFERROR(__xludf.DUMMYFUNCTION("""COMPUTED_VALUE"""),2016.0)</f>
        <v>2016</v>
      </c>
      <c r="F70" s="24" t="str">
        <f>IFERROR(__xludf.DUMMYFUNCTION("""COMPUTED_VALUE"""),"Bacias hidrográficas - Manejo; Bacias hidrográficas - Sensoriamento remoto; Monitoramento ambiental; Sistemas de informação geográfica")</f>
        <v>Bacias hidrográficas - Manejo; Bacias hidrográficas - Sensoriamento remoto; Monitoramento ambiental; Sistemas de informação geográfica</v>
      </c>
      <c r="G70" s="30" t="str">
        <f>IFERROR(__xludf.DUMMYFUNCTION("""COMPUTED_VALUE"""),"9788574554242")</f>
        <v>9788574554242</v>
      </c>
      <c r="H70" s="29" t="str">
        <f>IFERROR(__xludf.DUMMYFUNCTION("""COMPUTED_VALUE"""),"http://www.uesc.br/editora/livrosdigitais2018/metodos_tecnicas_bacias.pdf")</f>
        <v>http://www.uesc.br/editora/livrosdigitais2018/metodos_tecnicas_bacias.pdf</v>
      </c>
      <c r="I70" s="24" t="str">
        <f>IFERROR(__xludf.DUMMYFUNCTION("""COMPUTED_VALUE"""),"Ciências Agrárias")</f>
        <v>Ciências Agrárias</v>
      </c>
    </row>
    <row r="71">
      <c r="A71" s="24" t="str">
        <f>IFERROR(__xludf.DUMMYFUNCTION("""COMPUTED_VALUE"""),"Mormo: perguntas e respostas")</f>
        <v>Mormo: perguntas e respostas</v>
      </c>
      <c r="B71" s="24" t="str">
        <f>IFERROR(__xludf.DUMMYFUNCTION("""COMPUTED_VALUE"""),"Marcus Vinícius Dias Falcão, José Givanildo da Silva e Rinaldo Aparecido Mota")</f>
        <v>Marcus Vinícius Dias Falcão, José Givanildo da Silva e Rinaldo Aparecido Mota</v>
      </c>
      <c r="C71" s="24" t="str">
        <f>IFERROR(__xludf.DUMMYFUNCTION("""COMPUTED_VALUE"""),"Recife")</f>
        <v>Recife</v>
      </c>
      <c r="D71" s="24" t="str">
        <f>IFERROR(__xludf.DUMMYFUNCTION("""COMPUTED_VALUE"""),"Editora Universitária da UFRPE")</f>
        <v>Editora Universitária da UFRPE</v>
      </c>
      <c r="E71" s="25">
        <f>IFERROR(__xludf.DUMMYFUNCTION("""COMPUTED_VALUE"""),2019.0)</f>
        <v>2019</v>
      </c>
      <c r="F71" s="24" t="str">
        <f>IFERROR(__xludf.DUMMYFUNCTION("""COMPUTED_VALUE"""),"Saúde animal; Saúde pública veterinária; Educação médica; Bactérias gram-negativas")</f>
        <v>Saúde animal; Saúde pública veterinária; Educação médica; Bactérias gram-negativas</v>
      </c>
      <c r="G71" s="30" t="str">
        <f>IFERROR(__xludf.DUMMYFUNCTION("""COMPUTED_VALUE"""),"9788579463518")</f>
        <v>9788579463518</v>
      </c>
      <c r="H71" s="29" t="str">
        <f>IFERROR(__xludf.DUMMYFUNCTION("""COMPUTED_VALUE"""),"https://drive.google.com/file/d/1WAFPzQ_goTstsQucB_84bziDO_bOlGZ0/view?usp=sharing")</f>
        <v>https://drive.google.com/file/d/1WAFPzQ_goTstsQucB_84bziDO_bOlGZ0/view?usp=sharing</v>
      </c>
      <c r="I71" s="24" t="str">
        <f>IFERROR(__xludf.DUMMYFUNCTION("""COMPUTED_VALUE"""),"Ciências Agrárias")</f>
        <v>Ciências Agrárias</v>
      </c>
    </row>
    <row r="72">
      <c r="A72" s="24" t="str">
        <f>IFERROR(__xludf.DUMMYFUNCTION("""COMPUTED_VALUE"""),"Movimentos sociais em redes de diálogos: assentamentos rurais, educação e direitos humanos")</f>
        <v>Movimentos sociais em redes de diálogos: assentamentos rurais, educação e direitos humanos</v>
      </c>
      <c r="B72" s="24" t="str">
        <f>IFERROR(__xludf.DUMMYFUNCTION("""COMPUTED_VALUE"""),"organizadoras: Alzira Salete Menegat e Veronica Aparecida Pereira ")</f>
        <v>organizadoras: Alzira Salete Menegat e Veronica Aparecida Pereira </v>
      </c>
      <c r="C72" s="24" t="str">
        <f>IFERROR(__xludf.DUMMYFUNCTION("""COMPUTED_VALUE"""),"Dourados, MS")</f>
        <v>Dourados, MS</v>
      </c>
      <c r="D72" s="24" t="str">
        <f>IFERROR(__xludf.DUMMYFUNCTION("""COMPUTED_VALUE"""),"Ed. UFGD")</f>
        <v>Ed. UFGD</v>
      </c>
      <c r="E72" s="25">
        <f>IFERROR(__xludf.DUMMYFUNCTION("""COMPUTED_VALUE"""),2013.0)</f>
        <v>2013</v>
      </c>
      <c r="F72" s="24" t="str">
        <f>IFERROR(__xludf.DUMMYFUNCTION("""COMPUTED_VALUE"""),"Assentamentos rurais; Reforma agrária; Educação no campo; Camponeses")</f>
        <v>Assentamentos rurais; Reforma agrária; Educação no campo; Camponeses</v>
      </c>
      <c r="G72" s="30" t="str">
        <f>IFERROR(__xludf.DUMMYFUNCTION("""COMPUTED_VALUE"""),"9788581470382")</f>
        <v>9788581470382</v>
      </c>
      <c r="H72" s="29" t="str">
        <f>IFERROR(__xludf.DUMMYFUNCTION("""COMPUTED_VALUE"""),"http://omp.ufgd.edu.br/omp/index.php/livrosabertos/catalog/view/253/250/548-1")</f>
        <v>http://omp.ufgd.edu.br/omp/index.php/livrosabertos/catalog/view/253/250/548-1</v>
      </c>
      <c r="I72" s="24" t="str">
        <f>IFERROR(__xludf.DUMMYFUNCTION("""COMPUTED_VALUE"""),"Ciências Agrárias")</f>
        <v>Ciências Agrárias</v>
      </c>
    </row>
    <row r="73">
      <c r="A73" s="24" t="str">
        <f>IFERROR(__xludf.DUMMYFUNCTION("""COMPUTED_VALUE"""),"Nossas árvores: conservação, uso e manejo de árvores nativas no sul da Bahia")</f>
        <v>Nossas árvores: conservação, uso e manejo de árvores nativas no sul da Bahia</v>
      </c>
      <c r="B73" s="24" t="str">
        <f>IFERROR(__xludf.DUMMYFUNCTION("""COMPUTED_VALUE"""),"(org.) Regina Helena Rosa Sambuichi, Marcelo Schramm Mielke, Carlos Eduardo Pereira.")</f>
        <v>(org.) Regina Helena Rosa Sambuichi, Marcelo Schramm Mielke, Carlos Eduardo Pereira.</v>
      </c>
      <c r="C73" s="24" t="str">
        <f>IFERROR(__xludf.DUMMYFUNCTION("""COMPUTED_VALUE"""),"Ilhéus, BA")</f>
        <v>Ilhéus, BA</v>
      </c>
      <c r="D73" s="24" t="str">
        <f>IFERROR(__xludf.DUMMYFUNCTION("""COMPUTED_VALUE"""),"Editus")</f>
        <v>Editus</v>
      </c>
      <c r="E73" s="25">
        <f>IFERROR(__xludf.DUMMYFUNCTION("""COMPUTED_VALUE"""),2009.0)</f>
        <v>2009</v>
      </c>
      <c r="F73" s="24" t="str">
        <f>IFERROR(__xludf.DUMMYFUNCTION("""COMPUTED_VALUE"""),"Conservação da natureza; Plantas em extinção; Ecologia vegetal; Mata Atlântica – Conservação")</f>
        <v>Conservação da natureza; Plantas em extinção; Ecologia vegetal; Mata Atlântica – Conservação</v>
      </c>
      <c r="G73" s="30" t="str">
        <f>IFERROR(__xludf.DUMMYFUNCTION("""COMPUTED_VALUE"""),"9788574551739")</f>
        <v>9788574551739</v>
      </c>
      <c r="H73" s="29" t="str">
        <f>IFERROR(__xludf.DUMMYFUNCTION("""COMPUTED_VALUE"""),"http://www.uesc.br/editora/livrosdigitais2015/nossas_arvores.pdf")</f>
        <v>http://www.uesc.br/editora/livrosdigitais2015/nossas_arvores.pdf</v>
      </c>
      <c r="I73" s="24" t="str">
        <f>IFERROR(__xludf.DUMMYFUNCTION("""COMPUTED_VALUE"""),"Ciências Agrárias")</f>
        <v>Ciências Agrárias</v>
      </c>
    </row>
    <row r="74">
      <c r="A74" s="24" t="str">
        <f>IFERROR(__xludf.DUMMYFUNCTION("""COMPUTED_VALUE"""),"O desafio da agricultura sustentável: alternativas viáveis para o sul da Bahia")</f>
        <v>O desafio da agricultura sustentável: alternativas viáveis para o sul da Bahia</v>
      </c>
      <c r="B74" s="24" t="str">
        <f>IFERROR(__xludf.DUMMYFUNCTION("""COMPUTED_VALUE"""),"Organizadora Mariella Camardelli Uzêda")</f>
        <v>Organizadora Mariella Camardelli Uzêda</v>
      </c>
      <c r="C74" s="24" t="str">
        <f>IFERROR(__xludf.DUMMYFUNCTION("""COMPUTED_VALUE"""),"Ilhéus, BA")</f>
        <v>Ilhéus, BA</v>
      </c>
      <c r="D74" s="24" t="str">
        <f>IFERROR(__xludf.DUMMYFUNCTION("""COMPUTED_VALUE"""),"Editus")</f>
        <v>Editus</v>
      </c>
      <c r="E74" s="25">
        <f>IFERROR(__xludf.DUMMYFUNCTION("""COMPUTED_VALUE"""),2004.0)</f>
        <v>2004</v>
      </c>
      <c r="F74" s="24" t="str">
        <f>IFERROR(__xludf.DUMMYFUNCTION("""COMPUTED_VALUE"""),"Agricultura sustentável – Bahia; Agroecologia")</f>
        <v>Agricultura sustentável – Bahia; Agroecologia</v>
      </c>
      <c r="G74" s="30" t="str">
        <f>IFERROR(__xludf.DUMMYFUNCTION("""COMPUTED_VALUE"""),"8574550795")</f>
        <v>8574550795</v>
      </c>
      <c r="H74" s="29" t="str">
        <f>IFERROR(__xludf.DUMMYFUNCTION("""COMPUTED_VALUE"""),"http://www.uesc.br/editora/livrosdigitais2015/o_desafio_da_agricultura.pdf")</f>
        <v>http://www.uesc.br/editora/livrosdigitais2015/o_desafio_da_agricultura.pdf</v>
      </c>
      <c r="I74" s="24" t="str">
        <f>IFERROR(__xludf.DUMMYFUNCTION("""COMPUTED_VALUE"""),"Ciências Agrárias")</f>
        <v>Ciências Agrárias</v>
      </c>
    </row>
    <row r="75">
      <c r="A75" s="24" t="str">
        <f>IFERROR(__xludf.DUMMYFUNCTION("""COMPUTED_VALUE"""),"Oleaginosas e fibrosas cultivadas no Nordeste Brasileiro")</f>
        <v>Oleaginosas e fibrosas cultivadas no Nordeste Brasileiro</v>
      </c>
      <c r="B75" s="24" t="str">
        <f>IFERROR(__xludf.DUMMYFUNCTION("""COMPUTED_VALUE"""),"Fabiana Xavier Costa; Napoleão Esberard de Macêdo Beltrão (org.)")</f>
        <v>Fabiana Xavier Costa; Napoleão Esberard de Macêdo Beltrão (org.)</v>
      </c>
      <c r="C75" s="24" t="str">
        <f>IFERROR(__xludf.DUMMYFUNCTION("""COMPUTED_VALUE"""),"Campina Grande")</f>
        <v>Campina Grande</v>
      </c>
      <c r="D75" s="24" t="str">
        <f>IFERROR(__xludf.DUMMYFUNCTION("""COMPUTED_VALUE"""),"EDUEPB")</f>
        <v>EDUEPB</v>
      </c>
      <c r="E75" s="25">
        <f>IFERROR(__xludf.DUMMYFUNCTION("""COMPUTED_VALUE"""),2020.0)</f>
        <v>2020</v>
      </c>
      <c r="F75" s="24" t="str">
        <f>IFERROR(__xludf.DUMMYFUNCTION("""COMPUTED_VALUE"""),"Biotecnologia na agricultura - Nordeste - Brasil. Oleaginosa e fibrosa - Produção autossustentável - Brasil. Biodiesel")</f>
        <v>Biotecnologia na agricultura - Nordeste - Brasil. Oleaginosa e fibrosa - Produção autossustentável - Brasil. Biodiesel</v>
      </c>
      <c r="G75" s="30" t="str">
        <f>IFERROR(__xludf.DUMMYFUNCTION("""COMPUTED_VALUE"""),"9786586221169")</f>
        <v>9786586221169</v>
      </c>
      <c r="H75" s="29" t="str">
        <f>IFERROR(__xludf.DUMMYFUNCTION("""COMPUTED_VALUE"""),"http://eduepb.uepb.edu.br/download/oliogenosas/?wpdmdl=1048&amp;#038;masterkey=5ec8869bb5484")</f>
        <v>http://eduepb.uepb.edu.br/download/oliogenosas/?wpdmdl=1048&amp;#038;masterkey=5ec8869bb5484</v>
      </c>
      <c r="I75" s="24" t="str">
        <f>IFERROR(__xludf.DUMMYFUNCTION("""COMPUTED_VALUE"""),"Ciências Agrárias")</f>
        <v>Ciências Agrárias</v>
      </c>
    </row>
    <row r="76">
      <c r="A76" s="24" t="str">
        <f>IFERROR(__xludf.DUMMYFUNCTION("""COMPUTED_VALUE"""),"Orientações agronômicas para produtores da região sudoeste de Mato Grosso: diagnose e manejo integrado de doenças de plantas")</f>
        <v>Orientações agronômicas para produtores da região sudoeste de Mato Grosso: diagnose e manejo integrado de doenças de plantas</v>
      </c>
      <c r="B76" s="24" t="str">
        <f>IFERROR(__xludf.DUMMYFUNCTION("""COMPUTED_VALUE"""),"Leonarda Grillo Neves ")</f>
        <v>Leonarda Grillo Neves </v>
      </c>
      <c r="C76" s="24" t="str">
        <f>IFERROR(__xludf.DUMMYFUNCTION("""COMPUTED_VALUE"""),"Cáceres")</f>
        <v>Cáceres</v>
      </c>
      <c r="D76" s="24" t="str">
        <f>IFERROR(__xludf.DUMMYFUNCTION("""COMPUTED_VALUE"""),"UNEMAT")</f>
        <v>UNEMAT</v>
      </c>
      <c r="E76" s="25">
        <f>IFERROR(__xludf.DUMMYFUNCTION("""COMPUTED_VALUE"""),2019.0)</f>
        <v>2019</v>
      </c>
      <c r="F76" s="24" t="str">
        <f>IFERROR(__xludf.DUMMYFUNCTION("""COMPUTED_VALUE"""),"Doenças de plantas - diagnose; Campo - doenças; Produtores rurais - orientações")</f>
        <v>Doenças de plantas - diagnose; Campo - doenças; Produtores rurais - orientações</v>
      </c>
      <c r="G76" s="30" t="str">
        <f>IFERROR(__xludf.DUMMYFUNCTION("""COMPUTED_VALUE"""),"9786586866049")</f>
        <v>9786586866049</v>
      </c>
      <c r="H76" s="29" t="str">
        <f>IFERROR(__xludf.DUMMYFUNCTION("""COMPUTED_VALUE"""),"http://portal.unemat.br/media/files/Editora/E-BOOK%20-%20ORIENTA%C3%87%C3%95ES%20AGRON%C3%94MICAS%20PARA%20PRODUTORES%20DA%20REGI%C3%83O%20SUDOESTE%20DE%20MATO%20GROSSO.pdf")</f>
        <v>http://portal.unemat.br/media/files/Editora/E-BOOK%20-%20ORIENTA%C3%87%C3%95ES%20AGRON%C3%94MICAS%20PARA%20PRODUTORES%20DA%20REGI%C3%83O%20SUDOESTE%20DE%20MATO%20GROSSO.pdf</v>
      </c>
      <c r="I76" s="24" t="str">
        <f>IFERROR(__xludf.DUMMYFUNCTION("""COMPUTED_VALUE"""),"Ciências Agrárias")</f>
        <v>Ciências Agrárias</v>
      </c>
    </row>
    <row r="77">
      <c r="A77" s="24" t="str">
        <f>IFERROR(__xludf.DUMMYFUNCTION("""COMPUTED_VALUE"""),"Os fornecedores de cana e o estado intervencionista: estudo do processo de constituição social dos fornecedores de cana.")</f>
        <v>Os fornecedores de cana e o estado intervencionista: estudo do processo de constituição social dos fornecedores de cana.</v>
      </c>
      <c r="B77" s="24" t="str">
        <f>IFERROR(__xludf.DUMMYFUNCTION("""COMPUTED_VALUE"""),"Delma Pessanha Neves")</f>
        <v>Delma Pessanha Neves</v>
      </c>
      <c r="C77" s="24" t="str">
        <f>IFERROR(__xludf.DUMMYFUNCTION("""COMPUTED_VALUE"""),"Niterói, RJ")</f>
        <v>Niterói, RJ</v>
      </c>
      <c r="D77" s="24" t="str">
        <f>IFERROR(__xludf.DUMMYFUNCTION("""COMPUTED_VALUE"""),"EDUFF")</f>
        <v>EDUFF</v>
      </c>
      <c r="E77" s="25">
        <f>IFERROR(__xludf.DUMMYFUNCTION("""COMPUTED_VALUE"""),1997.0)</f>
        <v>1997</v>
      </c>
      <c r="F77" s="24" t="str">
        <f>IFERROR(__xludf.DUMMYFUNCTION("""COMPUTED_VALUE"""),"Produtores de cana da agroindústria açucareira")</f>
        <v>Produtores de cana da agroindústria açucareira</v>
      </c>
      <c r="G77" s="30" t="str">
        <f>IFERROR(__xludf.DUMMYFUNCTION("""COMPUTED_VALUE"""),"8522801967")</f>
        <v>8522801967</v>
      </c>
      <c r="H77" s="29" t="str">
        <f>IFERROR(__xludf.DUMMYFUNCTION("""COMPUTED_VALUE"""),"http://www.eduff.uff.br/ebooks/Os-fornecedores-de-cana-e-o-Estado-intervencionista.pdf")</f>
        <v>http://www.eduff.uff.br/ebooks/Os-fornecedores-de-cana-e-o-Estado-intervencionista.pdf</v>
      </c>
      <c r="I77" s="24" t="str">
        <f>IFERROR(__xludf.DUMMYFUNCTION("""COMPUTED_VALUE"""),"Ciências Agrárias")</f>
        <v>Ciências Agrárias</v>
      </c>
    </row>
    <row r="78">
      <c r="A78" s="24" t="str">
        <f>IFERROR(__xludf.DUMMYFUNCTION("""COMPUTED_VALUE"""),"Parasitologia veterinária")</f>
        <v>Parasitologia veterinária</v>
      </c>
      <c r="B78" s="24" t="str">
        <f>IFERROR(__xludf.DUMMYFUNCTION("""COMPUTED_VALUE"""),"Isabella Vilhena Freire Martins")</f>
        <v>Isabella Vilhena Freire Martins</v>
      </c>
      <c r="C78" s="24" t="str">
        <f>IFERROR(__xludf.DUMMYFUNCTION("""COMPUTED_VALUE"""),"Vitória")</f>
        <v>Vitória</v>
      </c>
      <c r="D78" s="24" t="str">
        <f>IFERROR(__xludf.DUMMYFUNCTION("""COMPUTED_VALUE"""),"EDUFES")</f>
        <v>EDUFES</v>
      </c>
      <c r="E78" s="25">
        <f>IFERROR(__xludf.DUMMYFUNCTION("""COMPUTED_VALUE"""),2019.0)</f>
        <v>2019</v>
      </c>
      <c r="F78" s="24" t="str">
        <f>IFERROR(__xludf.DUMMYFUNCTION("""COMPUTED_VALUE"""),"Parasitologia veterinária; Aspectos morfológicos; Aspectos biológicos; Parasitos")</f>
        <v>Parasitologia veterinária; Aspectos morfológicos; Aspectos biológicos; Parasitos</v>
      </c>
      <c r="G78" s="30" t="str">
        <f>IFERROR(__xludf.DUMMYFUNCTION("""COMPUTED_VALUE"""),"9788577724284")</f>
        <v>9788577724284</v>
      </c>
      <c r="H78" s="29" t="str">
        <f>IFERROR(__xludf.DUMMYFUNCTION("""COMPUTED_VALUE"""),"http://repositorio.ufes.br/bitstream/10/11421/1/parasitologia-veterinaria_livro-digital.pdf")</f>
        <v>http://repositorio.ufes.br/bitstream/10/11421/1/parasitologia-veterinaria_livro-digital.pdf</v>
      </c>
      <c r="I78" s="24" t="str">
        <f>IFERROR(__xludf.DUMMYFUNCTION("""COMPUTED_VALUE"""),"Ciências Agrárias")</f>
        <v>Ciências Agrárias</v>
      </c>
    </row>
    <row r="79">
      <c r="A79" s="24" t="str">
        <f>IFERROR(__xludf.DUMMYFUNCTION("""COMPUTED_VALUE"""),"Pesquisas e ações do grupo de estudos sobre abelhas do semiárido piauiense")</f>
        <v>Pesquisas e ações do grupo de estudos sobre abelhas do semiárido piauiense</v>
      </c>
      <c r="B79" s="24" t="str">
        <f>IFERROR(__xludf.DUMMYFUNCTION("""COMPUTED_VALUE"""),"Juliana do Nascimento Bendini; Gardner de Andrade Arrais (org.)")</f>
        <v>Juliana do Nascimento Bendini; Gardner de Andrade Arrais (org.)</v>
      </c>
      <c r="C79" s="24" t="str">
        <f>IFERROR(__xludf.DUMMYFUNCTION("""COMPUTED_VALUE"""),"Teresina")</f>
        <v>Teresina</v>
      </c>
      <c r="D79" s="24" t="str">
        <f>IFERROR(__xludf.DUMMYFUNCTION("""COMPUTED_VALUE"""),"EDUFPI")</f>
        <v>EDUFPI</v>
      </c>
      <c r="E79" s="25">
        <f>IFERROR(__xludf.DUMMYFUNCTION("""COMPUTED_VALUE"""),2017.0)</f>
        <v>2017</v>
      </c>
      <c r="F79" s="24" t="str">
        <f>IFERROR(__xludf.DUMMYFUNCTION("""COMPUTED_VALUE"""),"Abelhas; Semiárido Piauiense; Semiárido")</f>
        <v>Abelhas; Semiárido Piauiense; Semiárido</v>
      </c>
      <c r="G79" s="30" t="str">
        <f>IFERROR(__xludf.DUMMYFUNCTION("""COMPUTED_VALUE"""),"9788550902722")</f>
        <v>9788550902722</v>
      </c>
      <c r="H79" s="29" t="str">
        <f>IFERROR(__xludf.DUMMYFUNCTION("""COMPUTED_VALUE"""),"https://www.ufpi.br/arquivos_download/arquivos/EDUFPI/Livro-Pesquisas_e_a%C3%A7%C3%B5es_do_grupo_de_estudos_sobre_abelhas_do_semi%C3%A1rido_piauiense.pdf")</f>
        <v>https://www.ufpi.br/arquivos_download/arquivos/EDUFPI/Livro-Pesquisas_e_a%C3%A7%C3%B5es_do_grupo_de_estudos_sobre_abelhas_do_semi%C3%A1rido_piauiense.pdf</v>
      </c>
      <c r="I79" s="24" t="str">
        <f>IFERROR(__xludf.DUMMYFUNCTION("""COMPUTED_VALUE"""),"Ciências Agrárias")</f>
        <v>Ciências Agrárias</v>
      </c>
    </row>
    <row r="80">
      <c r="A80" s="24" t="str">
        <f>IFERROR(__xludf.DUMMYFUNCTION("""COMPUTED_VALUE"""),"Piaçava da Bahia (Attalea funifera Martius): do extrativismo à cultura agrícola")</f>
        <v>Piaçava da Bahia (Attalea funifera Martius): do extrativismo à cultura agrícola</v>
      </c>
      <c r="B80" s="24" t="str">
        <f>IFERROR(__xludf.DUMMYFUNCTION("""COMPUTED_VALUE"""),"Carlos Alex Lima Guimarães, Luiz Alberto Mattos; Silva.")</f>
        <v>Carlos Alex Lima Guimarães, Luiz Alberto Mattos; Silva.</v>
      </c>
      <c r="C80" s="24" t="str">
        <f>IFERROR(__xludf.DUMMYFUNCTION("""COMPUTED_VALUE"""),"Ilhéus, BA")</f>
        <v>Ilhéus, BA</v>
      </c>
      <c r="D80" s="24" t="str">
        <f>IFERROR(__xludf.DUMMYFUNCTION("""COMPUTED_VALUE"""),"Editus")</f>
        <v>Editus</v>
      </c>
      <c r="E80" s="25">
        <f>IFERROR(__xludf.DUMMYFUNCTION("""COMPUTED_VALUE"""),2012.0)</f>
        <v>2012</v>
      </c>
      <c r="F80" s="24" t="str">
        <f>IFERROR(__xludf.DUMMYFUNCTION("""COMPUTED_VALUE"""),"Piaçaba; Piaçaba – Bahia; Palmeira – Cultivo; Palmeira – Fibras")</f>
        <v>Piaçaba; Piaçaba – Bahia; Palmeira – Cultivo; Palmeira – Fibras</v>
      </c>
      <c r="G80" s="30" t="str">
        <f>IFERROR(__xludf.DUMMYFUNCTION("""COMPUTED_VALUE"""),"9788574552828")</f>
        <v>9788574552828</v>
      </c>
      <c r="H80" s="29" t="str">
        <f>IFERROR(__xludf.DUMMYFUNCTION("""COMPUTED_VALUE"""),"http://www.uesc.br/editora/livrosdigitais2016/piacava_da_bahia.pdf")</f>
        <v>http://www.uesc.br/editora/livrosdigitais2016/piacava_da_bahia.pdf</v>
      </c>
      <c r="I80" s="24" t="str">
        <f>IFERROR(__xludf.DUMMYFUNCTION("""COMPUTED_VALUE"""),"Ciências Agrárias")</f>
        <v>Ciências Agrárias</v>
      </c>
    </row>
    <row r="81">
      <c r="A81" s="24" t="str">
        <f>IFERROR(__xludf.DUMMYFUNCTION("""COMPUTED_VALUE"""),"Pindorama")</f>
        <v>Pindorama</v>
      </c>
      <c r="B81" s="24" t="str">
        <f>IFERROR(__xludf.DUMMYFUNCTION("""COMPUTED_VALUE"""),"Francisco de Assis Ribeiro dos Santos, Cláudia Elena Carneiro (org.) ")</f>
        <v>Francisco de Assis Ribeiro dos Santos, Cláudia Elena Carneiro (org.) </v>
      </c>
      <c r="C81" s="24" t="str">
        <f>IFERROR(__xludf.DUMMYFUNCTION("""COMPUTED_VALUE"""),"Teresina")</f>
        <v>Teresina</v>
      </c>
      <c r="D81" s="24" t="str">
        <f>IFERROR(__xludf.DUMMYFUNCTION("""COMPUTED_VALUE"""),"EDUFPI")</f>
        <v>EDUFPI</v>
      </c>
      <c r="E81" s="25">
        <f>IFERROR(__xludf.DUMMYFUNCTION("""COMPUTED_VALUE"""),2019.0)</f>
        <v>2019</v>
      </c>
      <c r="F81" s="24" t="str">
        <f>IFERROR(__xludf.DUMMYFUNCTION("""COMPUTED_VALUE"""),"Apicultura; Arecaceae; Nordeste; Palinologia; Palmeiras")</f>
        <v>Apicultura; Arecaceae; Nordeste; Palinologia; Palmeiras</v>
      </c>
      <c r="G81" s="30" t="str">
        <f>IFERROR(__xludf.DUMMYFUNCTION("""COMPUTED_VALUE"""),"9788550905181")</f>
        <v>9788550905181</v>
      </c>
      <c r="H81" s="29" t="str">
        <f>IFERROR(__xludf.DUMMYFUNCTION("""COMPUTED_VALUE"""),"https://www.ufpi.br/arquivos_download/arquivos/EDUFPI_Pindorama_2019_Final_nov_201920191107154359.pdf")</f>
        <v>https://www.ufpi.br/arquivos_download/arquivos/EDUFPI_Pindorama_2019_Final_nov_201920191107154359.pdf</v>
      </c>
      <c r="I81" s="24" t="str">
        <f>IFERROR(__xludf.DUMMYFUNCTION("""COMPUTED_VALUE"""),"Ciências Agrárias")</f>
        <v>Ciências Agrárias</v>
      </c>
    </row>
    <row r="82">
      <c r="A82" s="24" t="str">
        <f>IFERROR(__xludf.DUMMYFUNCTION("""COMPUTED_VALUE"""),"Planejamento e gestão de projetos para o desenvolvimento rural")</f>
        <v>Planejamento e gestão de projetos para o desenvolvimento rural</v>
      </c>
      <c r="B82" s="24" t="str">
        <f>IFERROR(__xludf.DUMMYFUNCTION("""COMPUTED_VALUE"""),"Bracagioli Neto, Alberto; Gehlen, Ivaldo; Oliveira, Valter Lucio de ")</f>
        <v>Bracagioli Neto, Alberto; Gehlen, Ivaldo; Oliveira, Valter Lucio de </v>
      </c>
      <c r="C82" s="24" t="str">
        <f>IFERROR(__xludf.DUMMYFUNCTION("""COMPUTED_VALUE"""),"Porto Alegre")</f>
        <v>Porto Alegre</v>
      </c>
      <c r="D82" s="24" t="str">
        <f>IFERROR(__xludf.DUMMYFUNCTION("""COMPUTED_VALUE"""),"UFRGS")</f>
        <v>UFRGS</v>
      </c>
      <c r="E82" s="25">
        <f>IFERROR(__xludf.DUMMYFUNCTION("""COMPUTED_VALUE"""),2010.0)</f>
        <v>2010</v>
      </c>
      <c r="F82" s="24" t="str">
        <f>IFERROR(__xludf.DUMMYFUNCTION("""COMPUTED_VALUE"""),"Desenvolvimento rural; Desenvolvimento sustentável; Gestão de projetos; Planejamento agrícola; Sociologia rural")</f>
        <v>Desenvolvimento rural; Desenvolvimento sustentável; Gestão de projetos; Planejamento agrícola; Sociologia rural</v>
      </c>
      <c r="G82" s="30" t="str">
        <f>IFERROR(__xludf.DUMMYFUNCTION("""COMPUTED_VALUE"""),"9788538601036")</f>
        <v>9788538601036</v>
      </c>
      <c r="H82" s="29" t="str">
        <f>IFERROR(__xludf.DUMMYFUNCTION("""COMPUTED_VALUE"""),"http://hdl.handle.net/10183/56513")</f>
        <v>http://hdl.handle.net/10183/56513</v>
      </c>
      <c r="I82" s="24" t="str">
        <f>IFERROR(__xludf.DUMMYFUNCTION("""COMPUTED_VALUE"""),"Ciências Agrárias")</f>
        <v>Ciências Agrárias</v>
      </c>
    </row>
    <row r="83">
      <c r="A83" s="24" t="str">
        <f>IFERROR(__xludf.DUMMYFUNCTION("""COMPUTED_VALUE"""),"Políticas públicas e o agronegócio cacau")</f>
        <v>Políticas públicas e o agronegócio cacau</v>
      </c>
      <c r="B83" s="24" t="str">
        <f>IFERROR(__xludf.DUMMYFUNCTION("""COMPUTED_VALUE"""),"Fernando Rios do Nascimento")</f>
        <v>Fernando Rios do Nascimento</v>
      </c>
      <c r="C83" s="24" t="str">
        <f>IFERROR(__xludf.DUMMYFUNCTION("""COMPUTED_VALUE"""),"Ilhéus, BA")</f>
        <v>Ilhéus, BA</v>
      </c>
      <c r="D83" s="24" t="str">
        <f>IFERROR(__xludf.DUMMYFUNCTION("""COMPUTED_VALUE"""),"Editus")</f>
        <v>Editus</v>
      </c>
      <c r="E83" s="25">
        <f>IFERROR(__xludf.DUMMYFUNCTION("""COMPUTED_VALUE"""),2004.0)</f>
        <v>2004</v>
      </c>
      <c r="F83" s="24" t="str">
        <f>IFERROR(__xludf.DUMMYFUNCTION("""COMPUTED_VALUE"""),"Economia agrícola; Agribusiness; Política agrícola – Agronegócio; – Bahia; Cacau – Economia; Agricultura e Estado")</f>
        <v>Economia agrícola; Agribusiness; Política agrícola – Agronegócio; – Bahia; Cacau – Economia; Agricultura e Estado</v>
      </c>
      <c r="G83" s="30" t="str">
        <f>IFERROR(__xludf.DUMMYFUNCTION("""COMPUTED_VALUE"""),"8574550809")</f>
        <v>8574550809</v>
      </c>
      <c r="H83" s="29" t="str">
        <f>IFERROR(__xludf.DUMMYFUNCTION("""COMPUTED_VALUE"""),"http://www.uesc.br/editora/livrosdigitais2015/politicas_publicas.pdf")</f>
        <v>http://www.uesc.br/editora/livrosdigitais2015/politicas_publicas.pdf</v>
      </c>
      <c r="I83" s="24" t="str">
        <f>IFERROR(__xludf.DUMMYFUNCTION("""COMPUTED_VALUE"""),"Ciências Agrárias")</f>
        <v>Ciências Agrárias</v>
      </c>
    </row>
    <row r="84">
      <c r="A84" s="24" t="str">
        <f>IFERROR(__xludf.DUMMYFUNCTION("""COMPUTED_VALUE"""),"Políticas públicas e privadas e competitividade das cadeias produtivas agroindustriais")</f>
        <v>Políticas públicas e privadas e competitividade das cadeias produtivas agroindustriais</v>
      </c>
      <c r="B84" s="24" t="str">
        <f>IFERROR(__xludf.DUMMYFUNCTION("""COMPUTED_VALUE"""),"Schultz, Glauco; Waquil, Paulo Dabdab ")</f>
        <v>Schultz, Glauco; Waquil, Paulo Dabdab </v>
      </c>
      <c r="C84" s="24" t="str">
        <f>IFERROR(__xludf.DUMMYFUNCTION("""COMPUTED_VALUE"""),"Porto Alegre")</f>
        <v>Porto Alegre</v>
      </c>
      <c r="D84" s="24" t="str">
        <f>IFERROR(__xludf.DUMMYFUNCTION("""COMPUTED_VALUE"""),"UFRGS")</f>
        <v>UFRGS</v>
      </c>
      <c r="E84" s="25">
        <f>IFERROR(__xludf.DUMMYFUNCTION("""COMPUTED_VALUE"""),2011.0)</f>
        <v>2011</v>
      </c>
      <c r="F84" s="24" t="str">
        <f>IFERROR(__xludf.DUMMYFUNCTION("""COMPUTED_VALUE"""),"Agroindústria; Cadeia agroindustrial; Competitividade agrícola; Desenvolvimento rural; Políticas públicas")</f>
        <v>Agroindústria; Cadeia agroindustrial; Competitividade agrícola; Desenvolvimento rural; Políticas públicas</v>
      </c>
      <c r="G84" s="30" t="str">
        <f>IFERROR(__xludf.DUMMYFUNCTION("""COMPUTED_VALUE"""),"9788538601609")</f>
        <v>9788538601609</v>
      </c>
      <c r="H84" s="29" t="str">
        <f>IFERROR(__xludf.DUMMYFUNCTION("""COMPUTED_VALUE"""),"http://hdl.handle.net/10183/56454")</f>
        <v>http://hdl.handle.net/10183/56454</v>
      </c>
      <c r="I84" s="24" t="str">
        <f>IFERROR(__xludf.DUMMYFUNCTION("""COMPUTED_VALUE"""),"Ciências Agrárias")</f>
        <v>Ciências Agrárias</v>
      </c>
    </row>
    <row r="85">
      <c r="A85" s="24" t="str">
        <f>IFERROR(__xludf.DUMMYFUNCTION("""COMPUTED_VALUE"""),"Procedimentos Operacionais Padronizados de Bromatologia de Alimentos – 1ª Edição")</f>
        <v>Procedimentos Operacionais Padronizados de Bromatologia de Alimentos – 1ª Edição</v>
      </c>
      <c r="B85" s="24" t="str">
        <f>IFERROR(__xludf.DUMMYFUNCTION("""COMPUTED_VALUE"""),"Maria Manuela Camino Feltes, Andréia Dalla Rosa, Giniani Carla Dors, Luana Gonçalves e Samantha Lemke Gonzalez")</f>
        <v>Maria Manuela Camino Feltes, Andréia Dalla Rosa, Giniani Carla Dors, Luana Gonçalves e Samantha Lemke Gonzalez</v>
      </c>
      <c r="C85" s="24" t="str">
        <f>IFERROR(__xludf.DUMMYFUNCTION("""COMPUTED_VALUE"""),"Blumenau")</f>
        <v>Blumenau</v>
      </c>
      <c r="D85" s="24" t="str">
        <f>IFERROR(__xludf.DUMMYFUNCTION("""COMPUTED_VALUE"""),"Instituto Federal Catarinense")</f>
        <v>Instituto Federal Catarinense</v>
      </c>
      <c r="E85" s="25">
        <f>IFERROR(__xludf.DUMMYFUNCTION("""COMPUTED_VALUE"""),2016.0)</f>
        <v>2016</v>
      </c>
      <c r="F85" s="24" t="str">
        <f>IFERROR(__xludf.DUMMYFUNCTION("""COMPUTED_VALUE"""),"Alimentos. Nutrição. Laboratórios")</f>
        <v>Alimentos. Nutrição. Laboratórios</v>
      </c>
      <c r="G85" s="30" t="str">
        <f>IFERROR(__xludf.DUMMYFUNCTION("""COMPUTED_VALUE"""),"9788556440068")</f>
        <v>9788556440068</v>
      </c>
      <c r="H85" s="29" t="str">
        <f>IFERROR(__xludf.DUMMYFUNCTION("""COMPUTED_VALUE"""),"https://editora.ifc.edu.br/2017/03/17/procedimentos-operacionais-padronizados-de-bromatologia-de-alimentos-1a-edicao/")</f>
        <v>https://editora.ifc.edu.br/2017/03/17/procedimentos-operacionais-padronizados-de-bromatologia-de-alimentos-1a-edicao/</v>
      </c>
      <c r="I85" s="24" t="str">
        <f>IFERROR(__xludf.DUMMYFUNCTION("""COMPUTED_VALUE"""),"Ciências Agrárias")</f>
        <v>Ciências Agrárias</v>
      </c>
    </row>
    <row r="86">
      <c r="A86" s="24" t="str">
        <f>IFERROR(__xludf.DUMMYFUNCTION("""COMPUTED_VALUE"""),"Projeto Fortalecimento do Agronegócio no Vale do Juruá Diagnóstico Social, Produtivo e Econômico do Açaí Nativo do Município de Feijó-AC")</f>
        <v>Projeto Fortalecimento do Agronegócio no Vale do Juruá Diagnóstico Social, Produtivo e Econômico do Açaí Nativo do Município de Feijó-AC</v>
      </c>
      <c r="B86" s="24" t="str">
        <f>IFERROR(__xludf.DUMMYFUNCTION("""COMPUTED_VALUE"""),"Serviço e Apoio às Micro e Pequenas Empresas no Acre (Sebrae)")</f>
        <v>Serviço e Apoio às Micro e Pequenas Empresas no Acre (Sebrae)</v>
      </c>
      <c r="C86" s="24" t="str">
        <f>IFERROR(__xludf.DUMMYFUNCTION("""COMPUTED_VALUE"""),"Rio Branco")</f>
        <v>Rio Branco</v>
      </c>
      <c r="D86" s="24" t="str">
        <f>IFERROR(__xludf.DUMMYFUNCTION("""COMPUTED_VALUE"""),"Edufac, Sebrae")</f>
        <v>Edufac, Sebrae</v>
      </c>
      <c r="E86" s="25">
        <f>IFERROR(__xludf.DUMMYFUNCTION("""COMPUTED_VALUE"""),2017.0)</f>
        <v>2017</v>
      </c>
      <c r="F86" s="24" t="str">
        <f>IFERROR(__xludf.DUMMYFUNCTION("""COMPUTED_VALUE"""),"Açaí – Diagnóstico – Feijó (AC); Açaí – Avaliação Social e econômica – Feijó (AC); Açaí – Produção; SEBRAE, Serviço de Apoio às Micro e Pequenas Empresas no Acre")</f>
        <v>Açaí – Diagnóstico – Feijó (AC); Açaí – Avaliação Social e econômica – Feijó (AC); Açaí – Produção; SEBRAE, Serviço de Apoio às Micro e Pequenas Empresas no Acre</v>
      </c>
      <c r="G86" s="30" t="str">
        <f>IFERROR(__xludf.DUMMYFUNCTION("""COMPUTED_VALUE"""),"9788582360606")</f>
        <v>9788582360606</v>
      </c>
      <c r="H86" s="29" t="str">
        <f>IFERROR(__xludf.DUMMYFUNCTION("""COMPUTED_VALUE"""),"http://www2.ufac.br/editora/livros/diagnostico-social.pdf")</f>
        <v>http://www2.ufac.br/editora/livros/diagnostico-social.pdf</v>
      </c>
      <c r="I86" s="24" t="str">
        <f>IFERROR(__xludf.DUMMYFUNCTION("""COMPUTED_VALUE"""),"Ciências Agrárias")</f>
        <v>Ciências Agrárias</v>
      </c>
    </row>
    <row r="87">
      <c r="A87" s="24" t="str">
        <f>IFERROR(__xludf.DUMMYFUNCTION("""COMPUTED_VALUE"""),"Projetos de desenvolvimento sustentável na Amazônia: lições aprendidas no PDS Bonal")</f>
        <v>Projetos de desenvolvimento sustentável na Amazônia: lições aprendidas no PDS Bonal</v>
      </c>
      <c r="B87" s="24" t="str">
        <f>IFERROR(__xludf.DUMMYFUNCTION("""COMPUTED_VALUE"""),"Raimundo Cláudio Gomes Maciel; Oleides Francisca de Oliveira; Francisco Raimundo Alves Neto (org.)")</f>
        <v>Raimundo Cláudio Gomes Maciel; Oleides Francisca de Oliveira; Francisco Raimundo Alves Neto (org.)</v>
      </c>
      <c r="C87" s="24" t="str">
        <f>IFERROR(__xludf.DUMMYFUNCTION("""COMPUTED_VALUE"""),"Rio Branco")</f>
        <v>Rio Branco</v>
      </c>
      <c r="D87" s="24" t="str">
        <f>IFERROR(__xludf.DUMMYFUNCTION("""COMPUTED_VALUE"""),"Edufac")</f>
        <v>Edufac</v>
      </c>
      <c r="E87" s="25">
        <f>IFERROR(__xludf.DUMMYFUNCTION("""COMPUTED_VALUE"""),2018.0)</f>
        <v>2018</v>
      </c>
      <c r="F87" s="24" t="str">
        <f>IFERROR(__xludf.DUMMYFUNCTION("""COMPUTED_VALUE"""),"Desenvolvimento sustentável – Amazônia; Produção agroindustrial")</f>
        <v>Desenvolvimento sustentável – Amazônia; Produção agroindustrial</v>
      </c>
      <c r="G87" s="30" t="str">
        <f>IFERROR(__xludf.DUMMYFUNCTION("""COMPUTED_VALUE"""),"9788582360811")</f>
        <v>9788582360811</v>
      </c>
      <c r="H87" s="29" t="str">
        <f>IFERROR(__xludf.DUMMYFUNCTION("""COMPUTED_VALUE"""),"http://www2.ufac.br/editora/livros/projetos-de-desenvolvimento-sustentavel-na-amazonico.pdf")</f>
        <v>http://www2.ufac.br/editora/livros/projetos-de-desenvolvimento-sustentavel-na-amazonico.pdf</v>
      </c>
      <c r="I87" s="24" t="str">
        <f>IFERROR(__xludf.DUMMYFUNCTION("""COMPUTED_VALUE"""),"Ciências Agrárias")</f>
        <v>Ciências Agrárias</v>
      </c>
    </row>
    <row r="88">
      <c r="A88" s="24" t="str">
        <f>IFERROR(__xludf.DUMMYFUNCTION("""COMPUTED_VALUE"""),"Qualidade do leite: boas práticas agropecuárias e ordenha higiênica")</f>
        <v>Qualidade do leite: boas práticas agropecuárias e ordenha higiênica</v>
      </c>
      <c r="B88" s="24" t="str">
        <f>IFERROR(__xludf.DUMMYFUNCTION("""COMPUTED_VALUE"""),"Marco Antonio Sloboda Cortez")</f>
        <v>Marco Antonio Sloboda Cortez</v>
      </c>
      <c r="C88" s="24" t="str">
        <f>IFERROR(__xludf.DUMMYFUNCTION("""COMPUTED_VALUE"""),"Niterói, RJ")</f>
        <v>Niterói, RJ</v>
      </c>
      <c r="D88" s="24" t="str">
        <f>IFERROR(__xludf.DUMMYFUNCTION("""COMPUTED_VALUE"""),"EDUFF")</f>
        <v>EDUFF</v>
      </c>
      <c r="E88" s="25">
        <f>IFERROR(__xludf.DUMMYFUNCTION("""COMPUTED_VALUE"""),2008.0)</f>
        <v>2008</v>
      </c>
      <c r="F88" s="24" t="str">
        <f>IFERROR(__xludf.DUMMYFUNCTION("""COMPUTED_VALUE"""),"Tecnologia de alimentos; Leite")</f>
        <v>Tecnologia de alimentos; Leite</v>
      </c>
      <c r="G88" s="30" t="str">
        <f>IFERROR(__xludf.DUMMYFUNCTION("""COMPUTED_VALUE"""),"9788522504658")</f>
        <v>9788522504658</v>
      </c>
      <c r="H88" s="29" t="str">
        <f>IFERROR(__xludf.DUMMYFUNCTION("""COMPUTED_VALUE"""),"http://www.eduff.uff.br/ebooks/Qualidade-do-leite.pdf")</f>
        <v>http://www.eduff.uff.br/ebooks/Qualidade-do-leite.pdf</v>
      </c>
      <c r="I88" s="24" t="str">
        <f>IFERROR(__xludf.DUMMYFUNCTION("""COMPUTED_VALUE"""),"Ciências Agrárias")</f>
        <v>Ciências Agrárias</v>
      </c>
    </row>
    <row r="89">
      <c r="A89" s="24" t="str">
        <f>IFERROR(__xludf.DUMMYFUNCTION("""COMPUTED_VALUE"""),"Questão agrária e legislação ambiental")</f>
        <v>Questão agrária e legislação ambiental</v>
      </c>
      <c r="B89" s="24" t="str">
        <f>IFERROR(__xludf.DUMMYFUNCTION("""COMPUTED_VALUE"""),"Fontoura, Luiz Fernando Mazzini; Verdum, Roberto ")</f>
        <v>Fontoura, Luiz Fernando Mazzini; Verdum, Roberto </v>
      </c>
      <c r="C89" s="24" t="str">
        <f>IFERROR(__xludf.DUMMYFUNCTION("""COMPUTED_VALUE"""),"Porto Alegre")</f>
        <v>Porto Alegre</v>
      </c>
      <c r="D89" s="24" t="str">
        <f>IFERROR(__xludf.DUMMYFUNCTION("""COMPUTED_VALUE"""),"UFRGS")</f>
        <v>UFRGS</v>
      </c>
      <c r="E89" s="25">
        <f>IFERROR(__xludf.DUMMYFUNCTION("""COMPUTED_VALUE"""),2018.0)</f>
        <v>2018</v>
      </c>
      <c r="F89" s="24" t="str">
        <f>IFERROR(__xludf.DUMMYFUNCTION("""COMPUTED_VALUE"""),"Desenvolvimento rural; Geografia agrária; Impacto ambiental; Legislação ambiental")</f>
        <v>Desenvolvimento rural; Geografia agrária; Impacto ambiental; Legislação ambiental</v>
      </c>
      <c r="G89" s="30" t="str">
        <f>IFERROR(__xludf.DUMMYFUNCTION("""COMPUTED_VALUE"""),"9788538604556 (pdf) 9788538604563 (epub)")</f>
        <v>9788538604556 (pdf) 9788538604563 (epub)</v>
      </c>
      <c r="H89" s="29" t="str">
        <f>IFERROR(__xludf.DUMMYFUNCTION("""COMPUTED_VALUE"""),"http://hdl.handle.net/10183/189274")</f>
        <v>http://hdl.handle.net/10183/189274</v>
      </c>
      <c r="I89" s="24" t="str">
        <f>IFERROR(__xludf.DUMMYFUNCTION("""COMPUTED_VALUE"""),"Ciências Agrárias")</f>
        <v>Ciências Agrárias</v>
      </c>
    </row>
    <row r="90">
      <c r="A90" s="24" t="str">
        <f>IFERROR(__xludf.DUMMYFUNCTION("""COMPUTED_VALUE"""),"Recuperação ambiental da mata atlântica / Danilo Sette de Almeida")</f>
        <v>Recuperação ambiental da mata atlântica / Danilo Sette de Almeida</v>
      </c>
      <c r="B90" s="24" t="str">
        <f>IFERROR(__xludf.DUMMYFUNCTION("""COMPUTED_VALUE"""),"Danilo Sette de Almeida")</f>
        <v>Danilo Sette de Almeida</v>
      </c>
      <c r="C90" s="24" t="str">
        <f>IFERROR(__xludf.DUMMYFUNCTION("""COMPUTED_VALUE"""),"Ilhéus, BA")</f>
        <v>Ilhéus, BA</v>
      </c>
      <c r="D90" s="24" t="str">
        <f>IFERROR(__xludf.DUMMYFUNCTION("""COMPUTED_VALUE"""),"Editus")</f>
        <v>Editus</v>
      </c>
      <c r="E90" s="25">
        <f>IFERROR(__xludf.DUMMYFUNCTION("""COMPUTED_VALUE"""),2016.0)</f>
        <v>2016</v>
      </c>
      <c r="F90" s="24" t="str">
        <f>IFERROR(__xludf.DUMMYFUNCTION("""COMPUTED_VALUE"""),"Mata atlântica; Florestas – Conservação – Brasil; Proteção ambiental – Brasil")</f>
        <v>Mata atlântica; Florestas – Conservação – Brasil; Proteção ambiental – Brasil</v>
      </c>
      <c r="G90" s="30" t="str">
        <f>IFERROR(__xludf.DUMMYFUNCTION("""COMPUTED_VALUE"""),"9788574554068")</f>
        <v>9788574554068</v>
      </c>
      <c r="H90" s="29" t="str">
        <f>IFERROR(__xludf.DUMMYFUNCTION("""COMPUTED_VALUE"""),"http://www.uesc.br/editora/livrosdigitais2016/recuperacao_ambiental_da_mata_atlantica_nova.pdf")</f>
        <v>http://www.uesc.br/editora/livrosdigitais2016/recuperacao_ambiental_da_mata_atlantica_nova.pdf</v>
      </c>
      <c r="I90" s="24" t="str">
        <f>IFERROR(__xludf.DUMMYFUNCTION("""COMPUTED_VALUE"""),"Ciências Agrárias")</f>
        <v>Ciências Agrárias</v>
      </c>
    </row>
    <row r="91">
      <c r="A91" s="24" t="str">
        <f>IFERROR(__xludf.DUMMYFUNCTION("""COMPUTED_VALUE"""),"Reduzindo os elos da cadeia: o constructo da política de inovação dos governos FHC e Lula")</f>
        <v>Reduzindo os elos da cadeia: o constructo da política de inovação dos governos FHC e Lula</v>
      </c>
      <c r="B91" s="24" t="str">
        <f>IFERROR(__xludf.DUMMYFUNCTION("""COMPUTED_VALUE"""),"José Porfiro da Silva")</f>
        <v>José Porfiro da Silva</v>
      </c>
      <c r="C91" s="24" t="str">
        <f>IFERROR(__xludf.DUMMYFUNCTION("""COMPUTED_VALUE"""),"Rio Branco")</f>
        <v>Rio Branco</v>
      </c>
      <c r="D91" s="24" t="str">
        <f>IFERROR(__xludf.DUMMYFUNCTION("""COMPUTED_VALUE"""),"Edufac")</f>
        <v>Edufac</v>
      </c>
      <c r="E91" s="25">
        <f>IFERROR(__xludf.DUMMYFUNCTION("""COMPUTED_VALUE"""),2018.0)</f>
        <v>2018</v>
      </c>
      <c r="F91" s="24" t="str">
        <f>IFERROR(__xludf.DUMMYFUNCTION("""COMPUTED_VALUE"""),"Economia da inovação; Política da inovação; Brasil")</f>
        <v>Economia da inovação; Política da inovação; Brasil</v>
      </c>
      <c r="G91" s="30" t="str">
        <f>IFERROR(__xludf.DUMMYFUNCTION("""COMPUTED_VALUE"""),"9788582360453")</f>
        <v>9788582360453</v>
      </c>
      <c r="H91" s="29" t="str">
        <f>IFERROR(__xludf.DUMMYFUNCTION("""COMPUTED_VALUE"""),"http://www2.ufac.br/editora/livros/reduzindo-os-elos-da-cadeia.pdf")</f>
        <v>http://www2.ufac.br/editora/livros/reduzindo-os-elos-da-cadeia.pdf</v>
      </c>
      <c r="I91" s="24" t="str">
        <f>IFERROR(__xludf.DUMMYFUNCTION("""COMPUTED_VALUE"""),"Ciências Agrárias")</f>
        <v>Ciências Agrárias</v>
      </c>
    </row>
    <row r="92">
      <c r="A92" s="24" t="str">
        <f>IFERROR(__xludf.DUMMYFUNCTION("""COMPUTED_VALUE"""),"Reserva Extrativista Chico Mendes: dos empates à pecuarização?")</f>
        <v>Reserva Extrativista Chico Mendes: dos empates à pecuarização?</v>
      </c>
      <c r="B92" s="24" t="str">
        <f>IFERROR(__xludf.DUMMYFUNCTION("""COMPUTED_VALUE"""),"Márcia Cristina Pereira de Melo Fittipaldy")</f>
        <v>Márcia Cristina Pereira de Melo Fittipaldy</v>
      </c>
      <c r="C92" s="24" t="str">
        <f>IFERROR(__xludf.DUMMYFUNCTION("""COMPUTED_VALUE"""),"Rio Branco")</f>
        <v>Rio Branco</v>
      </c>
      <c r="D92" s="24"/>
      <c r="E92" s="25">
        <f>IFERROR(__xludf.DUMMYFUNCTION("""COMPUTED_VALUE"""),2017.0)</f>
        <v>2017</v>
      </c>
      <c r="F92" s="24" t="str">
        <f>IFERROR(__xludf.DUMMYFUNCTION("""COMPUTED_VALUE"""),"Reserva Extrativista Chico Mendes; Meio Ambiente – Acre; Unidade de conservação")</f>
        <v>Reserva Extrativista Chico Mendes; Meio Ambiente – Acre; Unidade de conservação</v>
      </c>
      <c r="G92" s="30" t="str">
        <f>IFERROR(__xludf.DUMMYFUNCTION("""COMPUTED_VALUE"""),"9788582360583")</f>
        <v>9788582360583</v>
      </c>
      <c r="H92" s="29" t="str">
        <f>IFERROR(__xludf.DUMMYFUNCTION("""COMPUTED_VALUE"""),"http://www2.ufac.br/editora/livros/reserva-extrativista-chico-mendes.pdf")</f>
        <v>http://www2.ufac.br/editora/livros/reserva-extrativista-chico-mendes.pdf</v>
      </c>
      <c r="I92" s="24" t="str">
        <f>IFERROR(__xludf.DUMMYFUNCTION("""COMPUTED_VALUE"""),"Ciências Agrárias")</f>
        <v>Ciências Agrárias</v>
      </c>
    </row>
    <row r="93">
      <c r="A93" s="24" t="str">
        <f>IFERROR(__xludf.DUMMYFUNCTION("""COMPUTED_VALUE"""),"Saberes, narrativas e conflitos na pesca artesanal")</f>
        <v>Saberes, narrativas e conflitos na pesca artesanal</v>
      </c>
      <c r="B93" s="24" t="str">
        <f>IFERROR(__xludf.DUMMYFUNCTION("""COMPUTED_VALUE"""),"(org.) Winifred Knox, Aline Trigueiro")</f>
        <v>(org.) Winifred Knox, Aline Trigueiro</v>
      </c>
      <c r="C93" s="24" t="str">
        <f>IFERROR(__xludf.DUMMYFUNCTION("""COMPUTED_VALUE"""),"Vitória")</f>
        <v>Vitória</v>
      </c>
      <c r="D93" s="24" t="str">
        <f>IFERROR(__xludf.DUMMYFUNCTION("""COMPUTED_VALUE"""),"EDUFES")</f>
        <v>EDUFES</v>
      </c>
      <c r="E93" s="25">
        <f>IFERROR(__xludf.DUMMYFUNCTION("""COMPUTED_VALUE"""),2015.0)</f>
        <v>2015</v>
      </c>
      <c r="F93" s="24" t="str">
        <f>IFERROR(__xludf.DUMMYFUNCTION("""COMPUTED_VALUE"""),"Pesca artesanal; Aspectos ambientais; Pesca artesanal; Aspectos sociais; Pescadores")</f>
        <v>Pesca artesanal; Aspectos ambientais; Pesca artesanal; Aspectos sociais; Pescadores</v>
      </c>
      <c r="G93" s="30" t="str">
        <f>IFERROR(__xludf.DUMMYFUNCTION("""COMPUTED_VALUE"""),"9788577722761")</f>
        <v>9788577722761</v>
      </c>
      <c r="H93" s="29" t="str">
        <f>IFERROR(__xludf.DUMMYFUNCTION("""COMPUTED_VALUE"""),"http://repositorio.ufes.br/bitstream/10/1337/6/Livro%20edufes%20saberes%2C%20narrativas%20e%20conflitos%20na%20pesca%20artesanal.pdf")</f>
        <v>http://repositorio.ufes.br/bitstream/10/1337/6/Livro%20edufes%20saberes%2C%20narrativas%20e%20conflitos%20na%20pesca%20artesanal.pdf</v>
      </c>
      <c r="I93" s="24" t="str">
        <f>IFERROR(__xludf.DUMMYFUNCTION("""COMPUTED_VALUE"""),"Ciências Agrárias")</f>
        <v>Ciências Agrárias</v>
      </c>
    </row>
    <row r="94">
      <c r="A94" s="24" t="str">
        <f>IFERROR(__xludf.DUMMYFUNCTION("""COMPUTED_VALUE"""),"Sistema de irrigação localizada")</f>
        <v>Sistema de irrigação localizada</v>
      </c>
      <c r="B94" s="24" t="str">
        <f>IFERROR(__xludf.DUMMYFUNCTION("""COMPUTED_VALUE"""),"Organizador: Guilherme Augusto Biscaro ")</f>
        <v>Organizador: Guilherme Augusto Biscaro </v>
      </c>
      <c r="C94" s="24" t="str">
        <f>IFERROR(__xludf.DUMMYFUNCTION("""COMPUTED_VALUE"""),"Dourados, MS")</f>
        <v>Dourados, MS</v>
      </c>
      <c r="D94" s="24" t="str">
        <f>IFERROR(__xludf.DUMMYFUNCTION("""COMPUTED_VALUE"""),"Ed. da UFGD")</f>
        <v>Ed. da UFGD</v>
      </c>
      <c r="E94" s="25">
        <f>IFERROR(__xludf.DUMMYFUNCTION("""COMPUTED_VALUE"""),2014.0)</f>
        <v>2014</v>
      </c>
      <c r="F94" s="24" t="str">
        <f>IFERROR(__xludf.DUMMYFUNCTION("""COMPUTED_VALUE"""),"Irrigação; Microaspersão; Gotejamento")</f>
        <v>Irrigação; Microaspersão; Gotejamento</v>
      </c>
      <c r="G94" s="30" t="str">
        <f>IFERROR(__xludf.DUMMYFUNCTION("""COMPUTED_VALUE"""),"9788581471457")</f>
        <v>9788581471457</v>
      </c>
      <c r="H94" s="29" t="str">
        <f>IFERROR(__xludf.DUMMYFUNCTION("""COMPUTED_VALUE"""),"http://omp.ufgd.edu.br/omp/index.php/livrosabertos/catalog/view/50/50/130-2")</f>
        <v>http://omp.ufgd.edu.br/omp/index.php/livrosabertos/catalog/view/50/50/130-2</v>
      </c>
      <c r="I94" s="24" t="str">
        <f>IFERROR(__xludf.DUMMYFUNCTION("""COMPUTED_VALUE"""),"Ciências Agrárias")</f>
        <v>Ciências Agrárias</v>
      </c>
    </row>
    <row r="95">
      <c r="A95" s="24" t="str">
        <f>IFERROR(__xludf.DUMMYFUNCTION("""COMPUTED_VALUE"""),"Sistemas alimentares no século XXI: debates contemporâneos")</f>
        <v>Sistemas alimentares no século XXI: debates contemporâneos</v>
      </c>
      <c r="B95" s="24" t="str">
        <f>IFERROR(__xludf.DUMMYFUNCTION("""COMPUTED_VALUE"""),"Preiss, Potira Viegas; Schneider, Sergio")</f>
        <v>Preiss, Potira Viegas; Schneider, Sergio</v>
      </c>
      <c r="C95" s="24" t="str">
        <f>IFERROR(__xludf.DUMMYFUNCTION("""COMPUTED_VALUE"""),"Porto Alegre")</f>
        <v>Porto Alegre</v>
      </c>
      <c r="D95" s="24" t="str">
        <f>IFERROR(__xludf.DUMMYFUNCTION("""COMPUTED_VALUE"""),"UFRGS")</f>
        <v>UFRGS</v>
      </c>
      <c r="E95" s="25">
        <f>IFERROR(__xludf.DUMMYFUNCTION("""COMPUTED_VALUE"""),2020.0)</f>
        <v>2020</v>
      </c>
      <c r="F95" s="24" t="str">
        <f>IFERROR(__xludf.DUMMYFUNCTION("""COMPUTED_VALUE"""),"Agricultura; Agroecologia; Desenvolvimento rural; Políticas públicas; Segurança alimentar")</f>
        <v>Agricultura; Agroecologia; Desenvolvimento rural; Políticas públicas; Segurança alimentar</v>
      </c>
      <c r="G95" s="30" t="str">
        <f>IFERROR(__xludf.DUMMYFUNCTION("""COMPUTED_VALUE"""),"9786557250099")</f>
        <v>9786557250099</v>
      </c>
      <c r="H95" s="29" t="str">
        <f>IFERROR(__xludf.DUMMYFUNCTION("""COMPUTED_VALUE"""),"http://hdl.handle.net/10183/211399")</f>
        <v>http://hdl.handle.net/10183/211399</v>
      </c>
      <c r="I95" s="24" t="str">
        <f>IFERROR(__xludf.DUMMYFUNCTION("""COMPUTED_VALUE"""),"Ciências Agrárias")</f>
        <v>Ciências Agrárias</v>
      </c>
    </row>
    <row r="96">
      <c r="A96" s="24" t="str">
        <f>IFERROR(__xludf.DUMMYFUNCTION("""COMPUTED_VALUE"""),"Sistemas de irrigação por aspersão. ")</f>
        <v>Sistemas de irrigação por aspersão. </v>
      </c>
      <c r="B96" s="24" t="str">
        <f>IFERROR(__xludf.DUMMYFUNCTION("""COMPUTED_VALUE"""),"Guilherme Augusto Biscaro")</f>
        <v>Guilherme Augusto Biscaro</v>
      </c>
      <c r="C96" s="24" t="str">
        <f>IFERROR(__xludf.DUMMYFUNCTION("""COMPUTED_VALUE"""),"Dourados, MS")</f>
        <v>Dourados, MS</v>
      </c>
      <c r="D96" s="24" t="str">
        <f>IFERROR(__xludf.DUMMYFUNCTION("""COMPUTED_VALUE"""),"Editora da UFGD")</f>
        <v>Editora da UFGD</v>
      </c>
      <c r="E96" s="25">
        <f>IFERROR(__xludf.DUMMYFUNCTION("""COMPUTED_VALUE"""),2009.0)</f>
        <v>2009</v>
      </c>
      <c r="F96" s="24" t="str">
        <f>IFERROR(__xludf.DUMMYFUNCTION("""COMPUTED_VALUE"""),"Irrigação por aspersores; Irrigação agrícola")</f>
        <v>Irrigação por aspersores; Irrigação agrícola</v>
      </c>
      <c r="G96" s="30" t="str">
        <f>IFERROR(__xludf.DUMMYFUNCTION("""COMPUTED_VALUE"""),"9788561228354")</f>
        <v>9788561228354</v>
      </c>
      <c r="H96" s="29" t="str">
        <f>IFERROR(__xludf.DUMMYFUNCTION("""COMPUTED_VALUE"""),"http://omp.ufgd.edu.br/omp/index.php/livrosabertos/catalog/view/49/49/128-1")</f>
        <v>http://omp.ufgd.edu.br/omp/index.php/livrosabertos/catalog/view/49/49/128-1</v>
      </c>
      <c r="I96" s="24" t="str">
        <f>IFERROR(__xludf.DUMMYFUNCTION("""COMPUTED_VALUE"""),"Ciências Agrárias")</f>
        <v>Ciências Agrárias</v>
      </c>
    </row>
    <row r="97">
      <c r="A97" s="24" t="str">
        <f>IFERROR(__xludf.DUMMYFUNCTION("""COMPUTED_VALUE"""),"Sustentabilidade Ambiental : Teorias, métodos e técnicas")</f>
        <v>Sustentabilidade Ambiental : Teorias, métodos e técnicas</v>
      </c>
      <c r="B97" s="24" t="str">
        <f>IFERROR(__xludf.DUMMYFUNCTION("""COMPUTED_VALUE"""),"Maria de Fátima Nóbrega Barbosa; Josandra Araújo Barreto de Melo; Ângela Maria Cavalcanti Ramalho; Erivaldo Moreira Barbosa (org.)")</f>
        <v>Maria de Fátima Nóbrega Barbosa; Josandra Araújo Barreto de Melo; Ângela Maria Cavalcanti Ramalho; Erivaldo Moreira Barbosa (org.)</v>
      </c>
      <c r="C97" s="24" t="str">
        <f>IFERROR(__xludf.DUMMYFUNCTION("""COMPUTED_VALUE"""),"Campina Grande")</f>
        <v>Campina Grande</v>
      </c>
      <c r="D97" s="24" t="str">
        <f>IFERROR(__xludf.DUMMYFUNCTION("""COMPUTED_VALUE"""),"EDUEPB")</f>
        <v>EDUEPB</v>
      </c>
      <c r="E97" s="25">
        <f>IFERROR(__xludf.DUMMYFUNCTION("""COMPUTED_VALUE"""),2019.0)</f>
        <v>2019</v>
      </c>
      <c r="F97" s="24" t="str">
        <f>IFERROR(__xludf.DUMMYFUNCTION("""COMPUTED_VALUE"""),"Gestão ambiental. Desenvolvimento sustentável. Realidade socioambipental - diagnóstico. Recursos hídricos - planejamento. Produção sucroalcooleira - Brasil. Consumo sustentável ")</f>
        <v>Gestão ambiental. Desenvolvimento sustentável. Realidade socioambipental - diagnóstico. Recursos hídricos - planejamento. Produção sucroalcooleira - Brasil. Consumo sustentável </v>
      </c>
      <c r="G97" s="30" t="str">
        <f>IFERROR(__xludf.DUMMYFUNCTION("""COMPUTED_VALUE"""),"9788578796105")</f>
        <v>9788578796105</v>
      </c>
      <c r="H97" s="29" t="str">
        <f>IFERROR(__xludf.DUMMYFUNCTION("""COMPUTED_VALUE"""),"http://eduepb.uepb.edu.br/download/sustentabilidade-ambiental-teorias-metodos-e-tecnicas/?wpdmdl=910&amp;#038;masterkey=5de7c0ab798dd")</f>
        <v>http://eduepb.uepb.edu.br/download/sustentabilidade-ambiental-teorias-metodos-e-tecnicas/?wpdmdl=910&amp;#038;masterkey=5de7c0ab798dd</v>
      </c>
      <c r="I97" s="24" t="str">
        <f>IFERROR(__xludf.DUMMYFUNCTION("""COMPUTED_VALUE"""),"Ciências Agrárias")</f>
        <v>Ciências Agrárias</v>
      </c>
    </row>
    <row r="98">
      <c r="A98" s="24" t="str">
        <f>IFERROR(__xludf.DUMMYFUNCTION("""COMPUTED_VALUE"""),"Técnicas analíticas para controle de qualidade de leites e derivados")</f>
        <v>Técnicas analíticas para controle de qualidade de leites e derivados</v>
      </c>
      <c r="B98" s="24" t="str">
        <f>IFERROR(__xludf.DUMMYFUNCTION("""COMPUTED_VALUE"""),"Amanda Thaís Ghecki et. al")</f>
        <v>Amanda Thaís Ghecki et. al</v>
      </c>
      <c r="C98" s="24" t="str">
        <f>IFERROR(__xludf.DUMMYFUNCTION("""COMPUTED_VALUE"""),"Belém")</f>
        <v>Belém</v>
      </c>
      <c r="D98" s="24" t="str">
        <f>IFERROR(__xludf.DUMMYFUNCTION("""COMPUTED_VALUE"""),"UEPA")</f>
        <v>UEPA</v>
      </c>
      <c r="E98" s="25">
        <f>IFERROR(__xludf.DUMMYFUNCTION("""COMPUTED_VALUE"""),2018.0)</f>
        <v>2018</v>
      </c>
      <c r="F98" s="24" t="str">
        <f>IFERROR(__xludf.DUMMYFUNCTION("""COMPUTED_VALUE"""),"Leite - Controle de qualidade; Derivados do Leite - Análise; Leite - Processamento")</f>
        <v>Leite - Controle de qualidade; Derivados do Leite - Análise; Leite - Processamento</v>
      </c>
      <c r="G98" s="30" t="str">
        <f>IFERROR(__xludf.DUMMYFUNCTION("""COMPUTED_VALUE"""),"9788584580279")</f>
        <v>9788584580279</v>
      </c>
      <c r="H98" s="29" t="str">
        <f>IFERROR(__xludf.DUMMYFUNCTION("""COMPUTED_VALUE"""),"https://paginas.uepa.br/eduepa/wp-content/uploads/2019/06/TECNICAS-DE-ANALISE-02-03-2018.pdf")</f>
        <v>https://paginas.uepa.br/eduepa/wp-content/uploads/2019/06/TECNICAS-DE-ANALISE-02-03-2018.pdf</v>
      </c>
      <c r="I98" s="24" t="str">
        <f>IFERROR(__xludf.DUMMYFUNCTION("""COMPUTED_VALUE"""),"Ciências Agrárias")</f>
        <v>Ciências Agrárias</v>
      </c>
    </row>
    <row r="99">
      <c r="A99" s="24" t="str">
        <f>IFERROR(__xludf.DUMMYFUNCTION("""COMPUTED_VALUE"""),"Técnicas laboratoriais na análise de alimentos.")</f>
        <v>Técnicas laboratoriais na análise de alimentos.</v>
      </c>
      <c r="B99" s="24" t="str">
        <f>IFERROR(__xludf.DUMMYFUNCTION("""COMPUTED_VALUE"""),"Rafael Henrique de Tonissi e Buschinelli Goes, Hellen Leles Lima.")</f>
        <v>Rafael Henrique de Tonissi e Buschinelli Goes, Hellen Leles Lima.</v>
      </c>
      <c r="C99" s="24" t="str">
        <f>IFERROR(__xludf.DUMMYFUNCTION("""COMPUTED_VALUE"""),"Dourados, MS")</f>
        <v>Dourados, MS</v>
      </c>
      <c r="D99" s="24" t="str">
        <f>IFERROR(__xludf.DUMMYFUNCTION("""COMPUTED_VALUE"""),"Ed. da UFGD")</f>
        <v>Ed. da UFGD</v>
      </c>
      <c r="E99" s="25">
        <f>IFERROR(__xludf.DUMMYFUNCTION("""COMPUTED_VALUE"""),2010.0)</f>
        <v>2010</v>
      </c>
      <c r="F99" s="24" t="str">
        <f>IFERROR(__xludf.DUMMYFUNCTION("""COMPUTED_VALUE"""),"Nutrição animal – Análise; Alimentos - Aná-lise")</f>
        <v>Nutrição animal – Análise; Alimentos - Aná-lise</v>
      </c>
      <c r="G99" s="30" t="str">
        <f>IFERROR(__xludf.DUMMYFUNCTION("""COMPUTED_VALUE"""),"9738561228668")</f>
        <v>9738561228668</v>
      </c>
      <c r="H99" s="29" t="str">
        <f>IFERROR(__xludf.DUMMYFUNCTION("""COMPUTED_VALUE"""),"http://omp.ufgd.edu.br/omp/index.php/livrosabertos/catalog/view/231/109/386-1")</f>
        <v>http://omp.ufgd.edu.br/omp/index.php/livrosabertos/catalog/view/231/109/386-1</v>
      </c>
      <c r="I99" s="24" t="str">
        <f>IFERROR(__xludf.DUMMYFUNCTION("""COMPUTED_VALUE"""),"Ciências Agrárias")</f>
        <v>Ciências Agrárias</v>
      </c>
    </row>
    <row r="100">
      <c r="A100" s="24" t="str">
        <f>IFERROR(__xludf.DUMMYFUNCTION("""COMPUTED_VALUE"""),"Tecnologias Sociais para Sustentabilidade")</f>
        <v>Tecnologias Sociais para Sustentabilidade</v>
      </c>
      <c r="B100" s="24" t="str">
        <f>IFERROR(__xludf.DUMMYFUNCTION("""COMPUTED_VALUE"""),"Soraya Giovanetti El-Deir (org.)")</f>
        <v>Soraya Giovanetti El-Deir (org.)</v>
      </c>
      <c r="C100" s="24" t="str">
        <f>IFERROR(__xludf.DUMMYFUNCTION("""COMPUTED_VALUE"""),"Recife")</f>
        <v>Recife</v>
      </c>
      <c r="D100" s="24" t="str">
        <f>IFERROR(__xludf.DUMMYFUNCTION("""COMPUTED_VALUE"""),"Editora Universitária da UFRPE")</f>
        <v>Editora Universitária da UFRPE</v>
      </c>
      <c r="E100" s="25">
        <f>IFERROR(__xludf.DUMMYFUNCTION("""COMPUTED_VALUE"""),2017.0)</f>
        <v>2017</v>
      </c>
      <c r="F100" s="24" t="str">
        <f>IFERROR(__xludf.DUMMYFUNCTION("""COMPUTED_VALUE"""),"Engenharia; Gestão ambiental; Tecnologias sociais; Desenvolvimento sustentável")</f>
        <v>Engenharia; Gestão ambiental; Tecnologias sociais; Desenvolvimento sustentável</v>
      </c>
      <c r="G100" s="30" t="str">
        <f>IFERROR(__xludf.DUMMYFUNCTION("""COMPUTED_VALUE"""),"9788579461668")</f>
        <v>9788579461668</v>
      </c>
      <c r="H100" s="29" t="str">
        <f>IFERROR(__xludf.DUMMYFUNCTION("""COMPUTED_VALUE"""),"https://www.dropbox.com/s/zfwicnyl80dnal9/Tecnologias_Sociais_E_book.pdf?dl=0")</f>
        <v>https://www.dropbox.com/s/zfwicnyl80dnal9/Tecnologias_Sociais_E_book.pdf?dl=0</v>
      </c>
      <c r="I100" s="24" t="str">
        <f>IFERROR(__xludf.DUMMYFUNCTION("""COMPUTED_VALUE"""),"Ciências Agrárias")</f>
        <v>Ciências Agrárias</v>
      </c>
    </row>
    <row r="101">
      <c r="A101" s="24" t="str">
        <f>IFERROR(__xludf.DUMMYFUNCTION("""COMPUTED_VALUE"""),"Teorias do desenvolvimento")</f>
        <v>Teorias do desenvolvimento</v>
      </c>
      <c r="B101" s="24" t="str">
        <f>IFERROR(__xludf.DUMMYFUNCTION("""COMPUTED_VALUE"""),"Conterato, Marcelo Antonio; Filippi, Eduardo Ernesto ")</f>
        <v>Conterato, Marcelo Antonio; Filippi, Eduardo Ernesto </v>
      </c>
      <c r="C101" s="24" t="str">
        <f>IFERROR(__xludf.DUMMYFUNCTION("""COMPUTED_VALUE"""),"Porto Alegre")</f>
        <v>Porto Alegre</v>
      </c>
      <c r="D101" s="24" t="str">
        <f>IFERROR(__xludf.DUMMYFUNCTION("""COMPUTED_VALUE"""),"UFRGS")</f>
        <v>UFRGS</v>
      </c>
      <c r="E101" s="25">
        <f>IFERROR(__xludf.DUMMYFUNCTION("""COMPUTED_VALUE"""),2009.0)</f>
        <v>2009</v>
      </c>
      <c r="F101" s="24" t="str">
        <f>IFERROR(__xludf.DUMMYFUNCTION("""COMPUTED_VALUE"""),"Brasil; Desenvolvimento rural; Educação a distância (EaD); Sociologia rural")</f>
        <v>Brasil; Desenvolvimento rural; Educação a distância (EaD); Sociologia rural</v>
      </c>
      <c r="G101" s="30" t="str">
        <f>IFERROR(__xludf.DUMMYFUNCTION("""COMPUTED_VALUE"""),"9788538600671")</f>
        <v>9788538600671</v>
      </c>
      <c r="H101" s="29" t="str">
        <f>IFERROR(__xludf.DUMMYFUNCTION("""COMPUTED_VALUE"""),"http://hdl.handle.net/10183/52804")</f>
        <v>http://hdl.handle.net/10183/52804</v>
      </c>
      <c r="I101" s="24" t="str">
        <f>IFERROR(__xludf.DUMMYFUNCTION("""COMPUTED_VALUE"""),"Ciências Agrárias")</f>
        <v>Ciências Agrárias</v>
      </c>
    </row>
    <row r="102">
      <c r="A102" s="24" t="str">
        <f>IFERROR(__xludf.DUMMYFUNCTION("""COMPUTED_VALUE"""),"Territorialidade camponesa: estratégias de reprodução e organização socioespacial")</f>
        <v>Territorialidade camponesa: estratégias de reprodução e organização socioespacial</v>
      </c>
      <c r="B102" s="24" t="str">
        <f>IFERROR(__xludf.DUMMYFUNCTION("""COMPUTED_VALUE"""),"Bartolomeu Lima da Costa")</f>
        <v>Bartolomeu Lima da Costa</v>
      </c>
      <c r="C102" s="24" t="str">
        <f>IFERROR(__xludf.DUMMYFUNCTION("""COMPUTED_VALUE"""),"Rio Branco")</f>
        <v>Rio Branco</v>
      </c>
      <c r="D102" s="24" t="str">
        <f>IFERROR(__xludf.DUMMYFUNCTION("""COMPUTED_VALUE"""),"Edufac")</f>
        <v>Edufac</v>
      </c>
      <c r="E102" s="25">
        <f>IFERROR(__xludf.DUMMYFUNCTION("""COMPUTED_VALUE"""),2019.0)</f>
        <v>2019</v>
      </c>
      <c r="F102" s="24" t="str">
        <f>IFERROR(__xludf.DUMMYFUNCTION("""COMPUTED_VALUE"""),"Economia agrícola; Economia rural; Camponeses")</f>
        <v>Economia agrícola; Economia rural; Camponeses</v>
      </c>
      <c r="G102" s="30" t="str">
        <f>IFERROR(__xludf.DUMMYFUNCTION("""COMPUTED_VALUE"""),"9788582361009")</f>
        <v>9788582361009</v>
      </c>
      <c r="H102" s="29" t="str">
        <f>IFERROR(__xludf.DUMMYFUNCTION("""COMPUTED_VALUE"""),"http://www2.ufac.br/editora/livros/TERRITORIALIDADE.pdf")</f>
        <v>http://www2.ufac.br/editora/livros/TERRITORIALIDADE.pdf</v>
      </c>
      <c r="I102" s="24" t="str">
        <f>IFERROR(__xludf.DUMMYFUNCTION("""COMPUTED_VALUE"""),"Ciências Agrárias")</f>
        <v>Ciências Agrárias</v>
      </c>
    </row>
    <row r="103">
      <c r="A103" s="24" t="str">
        <f>IFERROR(__xludf.DUMMYFUNCTION("""COMPUTED_VALUE"""),"Território da produção orgânica no mundo da mercadoria")</f>
        <v>Território da produção orgânica no mundo da mercadoria</v>
      </c>
      <c r="B103" s="24" t="str">
        <f>IFERROR(__xludf.DUMMYFUNCTION("""COMPUTED_VALUE"""),"Silvana Aparecida Lucato Moretti.")</f>
        <v>Silvana Aparecida Lucato Moretti.</v>
      </c>
      <c r="C103" s="24" t="str">
        <f>IFERROR(__xludf.DUMMYFUNCTION("""COMPUTED_VALUE"""),"Dourados, MS")</f>
        <v>Dourados, MS</v>
      </c>
      <c r="D103" s="24" t="str">
        <f>IFERROR(__xludf.DUMMYFUNCTION("""COMPUTED_VALUE"""),"Ed. da UFGD")</f>
        <v>Ed. da UFGD</v>
      </c>
      <c r="E103" s="25">
        <f>IFERROR(__xludf.DUMMYFUNCTION("""COMPUTED_VALUE"""),2014.0)</f>
        <v>2014</v>
      </c>
      <c r="F103" s="24" t="str">
        <f>IFERROR(__xludf.DUMMYFUNCTION("""COMPUTED_VALUE"""),"Agricultura orgânica; Produtos orgânicos; Commodites agrícola")</f>
        <v>Agricultura orgânica; Produtos orgânicos; Commodites agrícola</v>
      </c>
      <c r="G103" s="30" t="str">
        <f>IFERROR(__xludf.DUMMYFUNCTION("""COMPUTED_VALUE"""),"9788581470948")</f>
        <v>9788581470948</v>
      </c>
      <c r="H103" s="29" t="str">
        <f>IFERROR(__xludf.DUMMYFUNCTION("""COMPUTED_VALUE"""),"http://omp.ufgd.edu.br/omp/index.php/livrosabertos/catalog/view/238/125/405-1")</f>
        <v>http://omp.ufgd.edu.br/omp/index.php/livrosabertos/catalog/view/238/125/405-1</v>
      </c>
      <c r="I103" s="24" t="str">
        <f>IFERROR(__xludf.DUMMYFUNCTION("""COMPUTED_VALUE"""),"Ciências Agrárias")</f>
        <v>Ciências Agrárias</v>
      </c>
    </row>
    <row r="104">
      <c r="A104" s="24" t="str">
        <f>IFERROR(__xludf.DUMMYFUNCTION("""COMPUTED_VALUE"""),"Território e reestruturação produtiva na avicultura.")</f>
        <v>Território e reestruturação produtiva na avicultura.</v>
      </c>
      <c r="B104" s="24" t="str">
        <f>IFERROR(__xludf.DUMMYFUNCTION("""COMPUTED_VALUE"""),"Márcia Yukari Mizusaki")</f>
        <v>Márcia Yukari Mizusaki</v>
      </c>
      <c r="C104" s="24" t="str">
        <f>IFERROR(__xludf.DUMMYFUNCTION("""COMPUTED_VALUE"""),"Dourados, MS")</f>
        <v>Dourados, MS</v>
      </c>
      <c r="D104" s="24" t="str">
        <f>IFERROR(__xludf.DUMMYFUNCTION("""COMPUTED_VALUE"""),"Editora da UFGD")</f>
        <v>Editora da UFGD</v>
      </c>
      <c r="E104" s="25">
        <f>IFERROR(__xludf.DUMMYFUNCTION("""COMPUTED_VALUE"""),2009.0)</f>
        <v>2009</v>
      </c>
      <c r="F104" s="24" t="str">
        <f>IFERROR(__xludf.DUMMYFUNCTION("""COMPUTED_VALUE"""),"Relações de trabalho e produção; Produção (Economia); Território; Avicultura – Mato Grosso do Sul; Mobilidade social")</f>
        <v>Relações de trabalho e produção; Produção (Economia); Território; Avicultura – Mato Grosso do Sul; Mobilidade social</v>
      </c>
      <c r="G104" s="30" t="str">
        <f>IFERROR(__xludf.DUMMYFUNCTION("""COMPUTED_VALUE"""),"9788561228293")</f>
        <v>9788561228293</v>
      </c>
      <c r="H104" s="29" t="str">
        <f>IFERROR(__xludf.DUMMYFUNCTION("""COMPUTED_VALUE"""),"http://omp.ufgd.edu.br/omp/index.php/livrosabertos/catalog/view/39/29/93-1")</f>
        <v>http://omp.ufgd.edu.br/omp/index.php/livrosabertos/catalog/view/39/29/93-1</v>
      </c>
      <c r="I104" s="24" t="str">
        <f>IFERROR(__xludf.DUMMYFUNCTION("""COMPUTED_VALUE"""),"Ciências Agrárias")</f>
        <v>Ciências Agrárias</v>
      </c>
    </row>
    <row r="105">
      <c r="A105" s="24" t="str">
        <f>IFERROR(__xludf.DUMMYFUNCTION("""COMPUTED_VALUE"""),"Transformações no espaço rural")</f>
        <v>Transformações no espaço rural</v>
      </c>
      <c r="B105" s="24" t="str">
        <f>IFERROR(__xludf.DUMMYFUNCTION("""COMPUTED_VALUE"""),"Coelho-de-Souza, Gabriela ")</f>
        <v>Coelho-de-Souza, Gabriela </v>
      </c>
      <c r="C105" s="24" t="str">
        <f>IFERROR(__xludf.DUMMYFUNCTION("""COMPUTED_VALUE"""),"Porto Alegre")</f>
        <v>Porto Alegre</v>
      </c>
      <c r="D105" s="24" t="str">
        <f>IFERROR(__xludf.DUMMYFUNCTION("""COMPUTED_VALUE"""),"UFRGS")</f>
        <v>UFRGS</v>
      </c>
      <c r="E105" s="25">
        <f>IFERROR(__xludf.DUMMYFUNCTION("""COMPUTED_VALUE"""),2011.0)</f>
        <v>2011</v>
      </c>
      <c r="F105" s="24" t="str">
        <f>IFERROR(__xludf.DUMMYFUNCTION("""COMPUTED_VALUE"""),"Agricultura; Desenvolvimento rural; Educação do campo; Espaço rural; Segurança alimentar; Turismo rural")</f>
        <v>Agricultura; Desenvolvimento rural; Educação do campo; Espaço rural; Segurança alimentar; Turismo rural</v>
      </c>
      <c r="G105" s="30" t="str">
        <f>IFERROR(__xludf.DUMMYFUNCTION("""COMPUTED_VALUE"""),"9788538601616")</f>
        <v>9788538601616</v>
      </c>
      <c r="H105" s="29" t="str">
        <f>IFERROR(__xludf.DUMMYFUNCTION("""COMPUTED_VALUE"""),"http://hdl.handle.net/10183/56450")</f>
        <v>http://hdl.handle.net/10183/56450</v>
      </c>
      <c r="I105" s="24" t="str">
        <f>IFERROR(__xludf.DUMMYFUNCTION("""COMPUTED_VALUE"""),"Ciências Agrárias")</f>
        <v>Ciências Agrárias</v>
      </c>
    </row>
    <row r="106">
      <c r="A106" s="24" t="str">
        <f>IFERROR(__xludf.DUMMYFUNCTION("""COMPUTED_VALUE"""),"Transição agroecológica e sustentabilidade dos agricultores familiares")</f>
        <v>Transição agroecológica e sustentabilidade dos agricultores familiares</v>
      </c>
      <c r="B106" s="24" t="str">
        <f>IFERROR(__xludf.DUMMYFUNCTION("""COMPUTED_VALUE"""),"Haloysio Miguel de Siqueira")</f>
        <v>Haloysio Miguel de Siqueira</v>
      </c>
      <c r="C106" s="24" t="str">
        <f>IFERROR(__xludf.DUMMYFUNCTION("""COMPUTED_VALUE"""),"Vitória")</f>
        <v>Vitória</v>
      </c>
      <c r="D106" s="24" t="str">
        <f>IFERROR(__xludf.DUMMYFUNCTION("""COMPUTED_VALUE"""),"EDUFES")</f>
        <v>EDUFES</v>
      </c>
      <c r="E106" s="25">
        <f>IFERROR(__xludf.DUMMYFUNCTION("""COMPUTED_VALUE"""),2016.0)</f>
        <v>2016</v>
      </c>
      <c r="F106" s="24" t="str">
        <f>IFERROR(__xludf.DUMMYFUNCTION("""COMPUTED_VALUE"""),"Ecologia agrícola; Agricultura familiar; Cafeicultura; Sustentabilidade")</f>
        <v>Ecologia agrícola; Agricultura familiar; Cafeicultura; Sustentabilidade</v>
      </c>
      <c r="G106" s="30" t="str">
        <f>IFERROR(__xludf.DUMMYFUNCTION("""COMPUTED_VALUE"""),"9788577723225")</f>
        <v>9788577723225</v>
      </c>
      <c r="H106" s="29" t="str">
        <f>IFERROR(__xludf.DUMMYFUNCTION("""COMPUTED_VALUE"""),"http://repositorio.ufes.br/handle/10/1899")</f>
        <v>http://repositorio.ufes.br/handle/10/1899</v>
      </c>
      <c r="I106" s="24" t="str">
        <f>IFERROR(__xludf.DUMMYFUNCTION("""COMPUTED_VALUE"""),"Ciências Agrárias")</f>
        <v>Ciências Agrárias</v>
      </c>
    </row>
    <row r="107">
      <c r="A107" s="24" t="str">
        <f>IFERROR(__xludf.DUMMYFUNCTION("""COMPUTED_VALUE"""),"Turismo rural: fundamentos e reflexões")</f>
        <v>Turismo rural: fundamentos e reflexões</v>
      </c>
      <c r="B107" s="24" t="str">
        <f>IFERROR(__xludf.DUMMYFUNCTION("""COMPUTED_VALUE"""),"Souza, Marcelino de; Dolci, Tissiane Schmidt ")</f>
        <v>Souza, Marcelino de; Dolci, Tissiane Schmidt </v>
      </c>
      <c r="C107" s="24" t="str">
        <f>IFERROR(__xludf.DUMMYFUNCTION("""COMPUTED_VALUE"""),"Porto Alegre")</f>
        <v>Porto Alegre</v>
      </c>
      <c r="D107" s="24" t="str">
        <f>IFERROR(__xludf.DUMMYFUNCTION("""COMPUTED_VALUE"""),"UFRGS")</f>
        <v>UFRGS</v>
      </c>
      <c r="E107" s="25">
        <f>IFERROR(__xludf.DUMMYFUNCTION("""COMPUTED_VALUE"""),2019.0)</f>
        <v>2019</v>
      </c>
      <c r="F107" s="24" t="str">
        <f>IFERROR(__xludf.DUMMYFUNCTION("""COMPUTED_VALUE"""),"Agricultura; Agroturismo; Desenvolvimento rural; Economia; Enoturismo; Políticas públicas; Turismo rural")</f>
        <v>Agricultura; Agroturismo; Desenvolvimento rural; Economia; Enoturismo; Políticas públicas; Turismo rural</v>
      </c>
      <c r="G107" s="30" t="str">
        <f>IFERROR(__xludf.DUMMYFUNCTION("""COMPUTED_VALUE"""),"9788538604655 (pdf); 9788538604662 (epub)")</f>
        <v>9788538604655 (pdf); 9788538604662 (epub)</v>
      </c>
      <c r="H107" s="29" t="str">
        <f>IFERROR(__xludf.DUMMYFUNCTION("""COMPUTED_VALUE"""),"http://hdl.handle.net/10183/193048")</f>
        <v>http://hdl.handle.net/10183/193048</v>
      </c>
      <c r="I107" s="24" t="str">
        <f>IFERROR(__xludf.DUMMYFUNCTION("""COMPUTED_VALUE"""),"Ciências Agrárias")</f>
        <v>Ciências Agrárias</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location="038;masterkey=5ec8869bb548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ref="H91"/>
    <hyperlink r:id="rId91" ref="H92"/>
    <hyperlink r:id="rId92" ref="H93"/>
    <hyperlink r:id="rId93" ref="H94"/>
    <hyperlink r:id="rId94" ref="H95"/>
    <hyperlink r:id="rId95" ref="H96"/>
    <hyperlink r:id="rId96" location="038;masterkey=5de7c0ab798dd"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s>
  <drawing r:id="rId107"/>
  <tableParts count="1">
    <tablePart r:id="rId109"/>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6.43"/>
    <col customWidth="1" min="2" max="2" width="29.57"/>
    <col customWidth="1" min="3" max="3" width="13.86"/>
    <col customWidth="1" min="4" max="4" width="12.43"/>
    <col customWidth="1" min="5" max="5" width="7.57"/>
    <col customWidth="1" min="6" max="6" width="32.71"/>
    <col customWidth="1" min="7" max="7" width="15.14"/>
    <col customWidth="1" min="8" max="8" width="28.14"/>
    <col customWidth="1" hidden="1" min="9" max="9" width="24.0"/>
  </cols>
  <sheetData>
    <row r="1">
      <c r="A1" s="19" t="s">
        <v>23</v>
      </c>
      <c r="B1" s="20" t="s">
        <v>24</v>
      </c>
      <c r="C1" s="20" t="s">
        <v>25</v>
      </c>
      <c r="D1" s="20" t="s">
        <v>26</v>
      </c>
      <c r="E1" s="21" t="s">
        <v>27</v>
      </c>
      <c r="F1" s="20" t="s">
        <v>28</v>
      </c>
      <c r="G1" s="22" t="s">
        <v>29</v>
      </c>
      <c r="H1" s="23" t="s">
        <v>30</v>
      </c>
      <c r="I1" s="20" t="s">
        <v>31</v>
      </c>
    </row>
    <row r="2">
      <c r="A2" s="24" t="str">
        <f>IFERROR(__xludf.DUMMYFUNCTION("IMPORTRANGE(""https://docs.google.com/spreadsheets/d/13YtZlkEQw4W38VCdbK3PbAk4uf6r7LAkUEaRwo0J7Jo/edit#gid=291977917"",""PlanilhaUnificada!B108:J194"")"),"(Des)envolvimento insustentável na Amazônia ocidental: dos missionários do progresso aos mercadores da natureza")</f>
        <v>(Des)envolvimento insustentável na Amazônia ocidental: dos missionários do progresso aos mercadores da natureza</v>
      </c>
      <c r="B2" s="24" t="str">
        <f>IFERROR(__xludf.DUMMYFUNCTION("""COMPUTED_VALUE"""),"Elder Andrade de Paula")</f>
        <v>Elder Andrade de Paula</v>
      </c>
      <c r="C2" s="24" t="str">
        <f>IFERROR(__xludf.DUMMYFUNCTION("""COMPUTED_VALUE"""),"Rio Branco")</f>
        <v>Rio Branco</v>
      </c>
      <c r="D2" s="24" t="str">
        <f>IFERROR(__xludf.DUMMYFUNCTION("""COMPUTED_VALUE"""),"Edufac")</f>
        <v>Edufac</v>
      </c>
      <c r="E2" s="25">
        <f>IFERROR(__xludf.DUMMYFUNCTION("""COMPUTED_VALUE"""),2013.0)</f>
        <v>2013</v>
      </c>
      <c r="F2" s="24" t="str">
        <f>IFERROR(__xludf.DUMMYFUNCTION("""COMPUTED_VALUE"""),"Desenvolvimento insustentável; Estado - desenvolvimento; Sindicalismo rural - Amazônia")</f>
        <v>Desenvolvimento insustentável; Estado - desenvolvimento; Sindicalismo rural - Amazônia</v>
      </c>
      <c r="G2" s="28" t="str">
        <f>IFERROR(__xludf.DUMMYFUNCTION("""COMPUTED_VALUE"""),"8598499110")</f>
        <v>8598499110</v>
      </c>
      <c r="H2" s="27" t="str">
        <f>IFERROR(__xludf.DUMMYFUNCTION("""COMPUTED_VALUE"""),"http://www2.ufac.br/editora/livros/des-envolvimento-insustentavel.pdf")</f>
        <v>http://www2.ufac.br/editora/livros/des-envolvimento-insustentavel.pdf</v>
      </c>
      <c r="I2" s="24" t="str">
        <f>IFERROR(__xludf.DUMMYFUNCTION("""COMPUTED_VALUE"""),"Ciências Biológicas")</f>
        <v>Ciências Biológicas</v>
      </c>
    </row>
    <row r="3">
      <c r="A3" s="24" t="str">
        <f>IFERROR(__xludf.DUMMYFUNCTION("""COMPUTED_VALUE"""),"A práxis ambiental educativa: diálogos entre diferentes saberes")</f>
        <v>A práxis ambiental educativa: diálogos entre diferentes saberes</v>
      </c>
      <c r="B3" s="24" t="str">
        <f>IFERROR(__xludf.DUMMYFUNCTION("""COMPUTED_VALUE"""),"Maria das Graças Ferreira Lobino")</f>
        <v>Maria das Graças Ferreira Lobino</v>
      </c>
      <c r="C3" s="24" t="str">
        <f>IFERROR(__xludf.DUMMYFUNCTION("""COMPUTED_VALUE"""),"Vitória")</f>
        <v>Vitória</v>
      </c>
      <c r="D3" s="24" t="str">
        <f>IFERROR(__xludf.DUMMYFUNCTION("""COMPUTED_VALUE"""),"EDUFES")</f>
        <v>EDUFES</v>
      </c>
      <c r="E3" s="25">
        <f>IFERROR(__xludf.DUMMYFUNCTION("""COMPUTED_VALUE"""),2013.0)</f>
        <v>2013</v>
      </c>
      <c r="F3" s="24" t="str">
        <f>IFERROR(__xludf.DUMMYFUNCTION("""COMPUTED_VALUE"""),"Educação ambiental; Professores; Formação de professores; Prática de ensino")</f>
        <v>Educação ambiental; Professores; Formação de professores; Prática de ensino</v>
      </c>
      <c r="G3" s="28" t="str">
        <f>IFERROR(__xludf.DUMMYFUNCTION("""COMPUTED_VALUE"""),"9788577721993")</f>
        <v>9788577721993</v>
      </c>
      <c r="H3" s="27" t="str">
        <f>IFERROR(__xludf.DUMMYFUNCTION("""COMPUTED_VALUE"""),"http://repositorio.ufes.br/bitstream/10/829/1/livro%20edufes%20Pr%C3%A1xis%20ambiental%20educativa%20di%C3%A1logo%20entre%20diferentes%20saberes.pdf")</f>
        <v>http://repositorio.ufes.br/bitstream/10/829/1/livro%20edufes%20Pr%C3%A1xis%20ambiental%20educativa%20di%C3%A1logo%20entre%20diferentes%20saberes.pdf</v>
      </c>
      <c r="I3" s="24" t="str">
        <f>IFERROR(__xludf.DUMMYFUNCTION("""COMPUTED_VALUE"""),"Ciências Biológicas")</f>
        <v>Ciências Biológicas</v>
      </c>
    </row>
    <row r="4">
      <c r="A4" s="24" t="str">
        <f>IFERROR(__xludf.DUMMYFUNCTION("""COMPUTED_VALUE"""),"Abordagem ambiental interdisciplinar em bacias hidrográficas no Estado do Paraná")</f>
        <v>Abordagem ambiental interdisciplinar em bacias hidrográficas no Estado do Paraná</v>
      </c>
      <c r="B4" s="24" t="str">
        <f>IFERROR(__xludf.DUMMYFUNCTION("""COMPUTED_VALUE"""),"Mauro Parolin, Cecília Volkmer-Ribeiro, Josimeire Aparecida Leandrini (org.)")</f>
        <v>Mauro Parolin, Cecília Volkmer-Ribeiro, Josimeire Aparecida Leandrini (org.)</v>
      </c>
      <c r="C4" s="24" t="str">
        <f>IFERROR(__xludf.DUMMYFUNCTION("""COMPUTED_VALUE"""),"Campo Mourão, PR")</f>
        <v>Campo Mourão, PR</v>
      </c>
      <c r="D4" s="24" t="str">
        <f>IFERROR(__xludf.DUMMYFUNCTION("""COMPUTED_VALUE"""),"Editora Fecilcam")</f>
        <v>Editora Fecilcam</v>
      </c>
      <c r="E4" s="25">
        <f>IFERROR(__xludf.DUMMYFUNCTION("""COMPUTED_VALUE"""),2010.0)</f>
        <v>2010</v>
      </c>
      <c r="F4" s="24" t="str">
        <f>IFERROR(__xludf.DUMMYFUNCTION("""COMPUTED_VALUE"""),"Biogeografia de água doce. Bacias hidrográficas. Geologia")</f>
        <v>Biogeografia de água doce. Bacias hidrográficas. Geologia</v>
      </c>
      <c r="G4" s="28" t="str">
        <f>IFERROR(__xludf.DUMMYFUNCTION("""COMPUTED_VALUE"""),"9788588753150")</f>
        <v>9788588753150</v>
      </c>
      <c r="H4" s="27" t="str">
        <f>IFERROR(__xludf.DUMMYFUNCTION("""COMPUTED_VALUE"""),"http://campomourao.unespar.edu.br/editora/obras-digitais/abordagem-ambiental-interdisciplinar-em-bacias-hidrograficas-no-estado-do-parana")</f>
        <v>http://campomourao.unespar.edu.br/editora/obras-digitais/abordagem-ambiental-interdisciplinar-em-bacias-hidrograficas-no-estado-do-parana</v>
      </c>
      <c r="I4" s="24" t="str">
        <f>IFERROR(__xludf.DUMMYFUNCTION("""COMPUTED_VALUE"""),"Ciências Biológicas")</f>
        <v>Ciências Biológicas</v>
      </c>
    </row>
    <row r="5">
      <c r="A5" s="24" t="str">
        <f>IFERROR(__xludf.DUMMYFUNCTION("""COMPUTED_VALUE"""),"Além da Aula Expositiva: múltiplas estratégias para ensino superior de Ciências Biológicas e da Saúde")</f>
        <v>Além da Aula Expositiva: múltiplas estratégias para ensino superior de Ciências Biológicas e da Saúde</v>
      </c>
      <c r="B5" s="24" t="str">
        <f>IFERROR(__xludf.DUMMYFUNCTION("""COMPUTED_VALUE"""),"Marilia Ribeiro Sales Cadena, Rogério de Aquino Saraiva, Leandro dos Santos (org.)")</f>
        <v>Marilia Ribeiro Sales Cadena, Rogério de Aquino Saraiva, Leandro dos Santos (org.)</v>
      </c>
      <c r="C5" s="24" t="str">
        <f>IFERROR(__xludf.DUMMYFUNCTION("""COMPUTED_VALUE"""),"Recife")</f>
        <v>Recife</v>
      </c>
      <c r="D5" s="24" t="str">
        <f>IFERROR(__xludf.DUMMYFUNCTION("""COMPUTED_VALUE"""),"Editora Universitária da UFRPE")</f>
        <v>Editora Universitária da UFRPE</v>
      </c>
      <c r="E5" s="25">
        <f>IFERROR(__xludf.DUMMYFUNCTION("""COMPUTED_VALUE"""),2020.0)</f>
        <v>2020</v>
      </c>
      <c r="F5" s="24" t="str">
        <f>IFERROR(__xludf.DUMMYFUNCTION("""COMPUTED_VALUE"""),"Ensino superior; Biologia; Educação sanitária; Tecnologia")</f>
        <v>Ensino superior; Biologia; Educação sanitária; Tecnologia</v>
      </c>
      <c r="G5" s="28" t="str">
        <f>IFERROR(__xludf.DUMMYFUNCTION("""COMPUTED_VALUE"""),"9786586466034")</f>
        <v>9786586466034</v>
      </c>
      <c r="H5" s="29" t="str">
        <f>IFERROR(__xludf.DUMMYFUNCTION("""COMPUTED_VALUE"""),"https://drive.google.com/file/d/1-JHbITsxzeW_QKFGOsMeh9cVu0luLxY5/view")</f>
        <v>https://drive.google.com/file/d/1-JHbITsxzeW_QKFGOsMeh9cVu0luLxY5/view</v>
      </c>
      <c r="I5" s="24" t="str">
        <f>IFERROR(__xludf.DUMMYFUNCTION("""COMPUTED_VALUE"""),"Ciências Biológicas")</f>
        <v>Ciências Biológicas</v>
      </c>
    </row>
    <row r="6">
      <c r="A6" s="24" t="str">
        <f>IFERROR(__xludf.DUMMYFUNCTION("""COMPUTED_VALUE"""),"Almanaque de ciências da professora Genna: o uso de histórias em quadrinhos no ensino de genética ")</f>
        <v>Almanaque de ciências da professora Genna: o uso de histórias em quadrinhos no ensino de genética </v>
      </c>
      <c r="B6" s="24" t="str">
        <f>IFERROR(__xludf.DUMMYFUNCTION("""COMPUTED_VALUE"""),"Luiza Gabriela de Oliveira")</f>
        <v>Luiza Gabriela de Oliveira</v>
      </c>
      <c r="C6" s="24" t="str">
        <f>IFERROR(__xludf.DUMMYFUNCTION("""COMPUTED_VALUE"""),"Ouro Preto")</f>
        <v>Ouro Preto</v>
      </c>
      <c r="D6" s="24" t="str">
        <f>IFERROR(__xludf.DUMMYFUNCTION("""COMPUTED_VALUE"""),"UFOP")</f>
        <v>UFOP</v>
      </c>
      <c r="E6" s="25">
        <f>IFERROR(__xludf.DUMMYFUNCTION("""COMPUTED_VALUE"""),2018.0)</f>
        <v>2018</v>
      </c>
      <c r="F6" s="24" t="str">
        <f>IFERROR(__xludf.DUMMYFUNCTION("""COMPUTED_VALUE"""),"Ciência - Estudo e ensino. Genética - Estudo e ensino. Gêneros literários. Histórias em quadrinhos")</f>
        <v>Ciência - Estudo e ensino. Genética - Estudo e ensino. Gêneros literários. Histórias em quadrinhos</v>
      </c>
      <c r="G6" s="28" t="str">
        <f>IFERROR(__xludf.DUMMYFUNCTION("""COMPUTED_VALUE"""),"9788528803624")</f>
        <v>9788528803624</v>
      </c>
      <c r="H6" s="27" t="str">
        <f>IFERROR(__xludf.DUMMYFUNCTION("""COMPUTED_VALUE"""),"https://www.editora.ufop.br/index.php/editora/catalog/view/146/116/381-1")</f>
        <v>https://www.editora.ufop.br/index.php/editora/catalog/view/146/116/381-1</v>
      </c>
      <c r="I6" s="24" t="str">
        <f>IFERROR(__xludf.DUMMYFUNCTION("""COMPUTED_VALUE"""),"Ciências Biológicas")</f>
        <v>Ciências Biológicas</v>
      </c>
    </row>
    <row r="7">
      <c r="A7" s="24" t="str">
        <f>IFERROR(__xludf.DUMMYFUNCTION("""COMPUTED_VALUE"""),"Amazônia: fronteiras, grandes projetos e movimentos sociais")</f>
        <v>Amazônia: fronteiras, grandes projetos e movimentos sociais</v>
      </c>
      <c r="B7" s="24" t="str">
        <f>IFERROR(__xludf.DUMMYFUNCTION("""COMPUTED_VALUE"""),"Organização de Aiala; Colares de Oliveira Couto, Tiago Veloso dos Santos, Wilame de Oliveira Ribeiro. ")</f>
        <v>Organização de Aiala; Colares de Oliveira Couto, Tiago Veloso dos Santos, Wilame de Oliveira Ribeiro. </v>
      </c>
      <c r="C7" s="24" t="str">
        <f>IFERROR(__xludf.DUMMYFUNCTION("""COMPUTED_VALUE"""),"Belém")</f>
        <v>Belém</v>
      </c>
      <c r="D7" s="24" t="str">
        <f>IFERROR(__xludf.DUMMYFUNCTION("""COMPUTED_VALUE"""),"UEPA")</f>
        <v>UEPA</v>
      </c>
      <c r="E7" s="25">
        <f>IFERROR(__xludf.DUMMYFUNCTION("""COMPUTED_VALUE"""),2019.0)</f>
        <v>2019</v>
      </c>
      <c r="F7" s="24" t="str">
        <f>IFERROR(__xludf.DUMMYFUNCTION("""COMPUTED_VALUE"""),"Amazônia - Fronteiras; Amazônia - Movimentos sociais Amazônia - Projetos")</f>
        <v>Amazônia - Fronteiras; Amazônia - Movimentos sociais Amazônia - Projetos</v>
      </c>
      <c r="G7" s="28" t="str">
        <f>IFERROR(__xludf.DUMMYFUNCTION("""COMPUTED_VALUE"""),"9788584580422")</f>
        <v>9788584580422</v>
      </c>
      <c r="H7" s="27" t="str">
        <f>IFERROR(__xludf.DUMMYFUNCTION("""COMPUTED_VALUE"""),"https://paginas.uepa.br/eduepa/wp-content/uploads/2019/09/AMAZ%C3%94NIA-FRONTEIRAS-GRANDES-PROJETOS.pdf")</f>
        <v>https://paginas.uepa.br/eduepa/wp-content/uploads/2019/09/AMAZ%C3%94NIA-FRONTEIRAS-GRANDES-PROJETOS.pdf</v>
      </c>
      <c r="I7" s="24" t="str">
        <f>IFERROR(__xludf.DUMMYFUNCTION("""COMPUTED_VALUE"""),"Ciências Biológicas")</f>
        <v>Ciências Biológicas</v>
      </c>
    </row>
    <row r="8">
      <c r="A8" s="24" t="str">
        <f>IFERROR(__xludf.DUMMYFUNCTION("""COMPUTED_VALUE"""),"Animais silvestres convivência e riscos")</f>
        <v>Animais silvestres convivência e riscos</v>
      </c>
      <c r="B8" s="24" t="str">
        <f>IFERROR(__xludf.DUMMYFUNCTION("""COMPUTED_VALUE"""),"VÂNIA MARIA FRANÇA RIBEIRO; LUCIANA DOS SANTOS MEDEIROS colaboradores")</f>
        <v>VÂNIA MARIA FRANÇA RIBEIRO; LUCIANA DOS SANTOS MEDEIROS colaboradores</v>
      </c>
      <c r="C8" s="24" t="str">
        <f>IFERROR(__xludf.DUMMYFUNCTION("""COMPUTED_VALUE"""),"Rio Branco")</f>
        <v>Rio Branco</v>
      </c>
      <c r="D8" s="24" t="str">
        <f>IFERROR(__xludf.DUMMYFUNCTION("""COMPUTED_VALUE"""),"Edufac")</f>
        <v>Edufac</v>
      </c>
      <c r="E8" s="25">
        <f>IFERROR(__xludf.DUMMYFUNCTION("""COMPUTED_VALUE"""),2017.0)</f>
        <v>2017</v>
      </c>
      <c r="F8" s="24" t="str">
        <f>IFERROR(__xludf.DUMMYFUNCTION("""COMPUTED_VALUE"""),"Animais silvestres; Zoonoses; Macacos; Quelônios; Aves; Capivaras")</f>
        <v>Animais silvestres; Zoonoses; Macacos; Quelônios; Aves; Capivaras</v>
      </c>
      <c r="G8" s="28" t="str">
        <f>IFERROR(__xludf.DUMMYFUNCTION("""COMPUTED_VALUE"""),"9788582360675")</f>
        <v>9788582360675</v>
      </c>
      <c r="H8" s="29" t="str">
        <f>IFERROR(__xludf.DUMMYFUNCTION("""COMPUTED_VALUE"""),"http://www2.ufac.br/editora/livros/animais-silvestres-convivencia-e-risco.pdf")</f>
        <v>http://www2.ufac.br/editora/livros/animais-silvestres-convivencia-e-risco.pdf</v>
      </c>
      <c r="I8" s="24" t="str">
        <f>IFERROR(__xludf.DUMMYFUNCTION("""COMPUTED_VALUE"""),"Ciências Biológicas")</f>
        <v>Ciências Biológicas</v>
      </c>
    </row>
    <row r="9">
      <c r="A9" s="24" t="str">
        <f>IFERROR(__xludf.DUMMYFUNCTION("""COMPUTED_VALUE"""),"Arley e as Tartarugas")</f>
        <v>Arley e as Tartarugas</v>
      </c>
      <c r="B9" s="24" t="str">
        <f>IFERROR(__xludf.DUMMYFUNCTION("""COMPUTED_VALUE"""),"Ana Luiza de Souza Trindade e Ednilza Maranhão dos Santos")</f>
        <v>Ana Luiza de Souza Trindade e Ednilza Maranhão dos Santos</v>
      </c>
      <c r="C9" s="24" t="str">
        <f>IFERROR(__xludf.DUMMYFUNCTION("""COMPUTED_VALUE"""),"Recife")</f>
        <v>Recife</v>
      </c>
      <c r="D9" s="24" t="str">
        <f>IFERROR(__xludf.DUMMYFUNCTION("""COMPUTED_VALUE"""),"Editora Universitária da UFRPE")</f>
        <v>Editora Universitária da UFRPE</v>
      </c>
      <c r="E9" s="25">
        <f>IFERROR(__xludf.DUMMYFUNCTION("""COMPUTED_VALUE"""),2018.0)</f>
        <v>2018</v>
      </c>
      <c r="F9" s="24" t="str">
        <f>IFERROR(__xludf.DUMMYFUNCTION("""COMPUTED_VALUE"""),"Conservação da natureza; Tartaruga-marinha; Tartarugas")</f>
        <v>Conservação da natureza; Tartaruga-marinha; Tartarugas</v>
      </c>
      <c r="G9" s="28" t="str">
        <f>IFERROR(__xludf.DUMMYFUNCTION("""COMPUTED_VALUE"""),"9788579463297")</f>
        <v>9788579463297</v>
      </c>
      <c r="H9" s="29" t="str">
        <f>IFERROR(__xludf.DUMMYFUNCTION("""COMPUTED_VALUE"""),"https://drive.google.com/file/d/1rtQxiODwrciiFqyFVnMUQOy7-Hf9siIg/view")</f>
        <v>https://drive.google.com/file/d/1rtQxiODwrciiFqyFVnMUQOy7-Hf9siIg/view</v>
      </c>
      <c r="I9" s="24" t="str">
        <f>IFERROR(__xludf.DUMMYFUNCTION("""COMPUTED_VALUE"""),"Ciências Biológicas")</f>
        <v>Ciências Biológicas</v>
      </c>
    </row>
    <row r="10">
      <c r="A10" s="24" t="str">
        <f>IFERROR(__xludf.DUMMYFUNCTION("""COMPUTED_VALUE"""),"AS ARNICAS ENDÊMICAS DAS SERRAS DO BRASIL: uma visão sobre a biologia e a químicadas espécies de Lychnophora ( Asteraceae )")</f>
        <v>AS ARNICAS ENDÊMICAS DAS SERRAS DO BRASIL: uma visão sobre a biologia e a químicadas espécies de Lychnophora ( Asteraceae )</v>
      </c>
      <c r="B10" s="24" t="str">
        <f>IFERROR(__xludf.DUMMYFUNCTION("""COMPUTED_VALUE"""),"João Semir, Alex Ribeiro Rezende, Marcelo Monge, Norberto Peporine Lopes")</f>
        <v>João Semir, Alex Ribeiro Rezende, Marcelo Monge, Norberto Peporine Lopes</v>
      </c>
      <c r="C10" s="24" t="str">
        <f>IFERROR(__xludf.DUMMYFUNCTION("""COMPUTED_VALUE"""),"Ouro Preto")</f>
        <v>Ouro Preto</v>
      </c>
      <c r="D10" s="24" t="str">
        <f>IFERROR(__xludf.DUMMYFUNCTION("""COMPUTED_VALUE"""),"UFOP")</f>
        <v>UFOP</v>
      </c>
      <c r="E10" s="25">
        <f>IFERROR(__xludf.DUMMYFUNCTION("""COMPUTED_VALUE"""),2011.0)</f>
        <v>2011</v>
      </c>
      <c r="F10" s="24" t="str">
        <f>IFERROR(__xludf.DUMMYFUNCTION("""COMPUTED_VALUE"""),"Farmacognosia. Plantas medicinais. Arnica")</f>
        <v>Farmacognosia. Plantas medicinais. Arnica</v>
      </c>
      <c r="G10" s="28" t="str">
        <f>IFERROR(__xludf.DUMMYFUNCTION("""COMPUTED_VALUE"""),"9788528802764")</f>
        <v>9788528802764</v>
      </c>
      <c r="H10" s="29" t="str">
        <f>IFERROR(__xludf.DUMMYFUNCTION("""COMPUTED_VALUE"""),"https://repositorio.ufop.br/bitstream/123456789/4548/1/LIVRO_ArnicasEnd%c3%aamicasSerras.pdf")</f>
        <v>https://repositorio.ufop.br/bitstream/123456789/4548/1/LIVRO_ArnicasEnd%c3%aamicasSerras.pdf</v>
      </c>
      <c r="I10" s="24" t="str">
        <f>IFERROR(__xludf.DUMMYFUNCTION("""COMPUTED_VALUE"""),"Ciências Biológicas")</f>
        <v>Ciências Biológicas</v>
      </c>
    </row>
    <row r="11">
      <c r="A11" s="24" t="str">
        <f>IFERROR(__xludf.DUMMYFUNCTION("""COMPUTED_VALUE"""),"As formigas poneromorfas do Brasil ")</f>
        <v>As formigas poneromorfas do Brasil </v>
      </c>
      <c r="B11" s="24" t="str">
        <f>IFERROR(__xludf.DUMMYFUNCTION("""COMPUTED_VALUE"""),"Jacques H. C. Delabie...(et. al.).")</f>
        <v>Jacques H. C. Delabie...(et. al.).</v>
      </c>
      <c r="C11" s="24" t="str">
        <f>IFERROR(__xludf.DUMMYFUNCTION("""COMPUTED_VALUE"""),"Ilhéus, BA")</f>
        <v>Ilhéus, BA</v>
      </c>
      <c r="D11" s="24" t="str">
        <f>IFERROR(__xludf.DUMMYFUNCTION("""COMPUTED_VALUE"""),"Editus")</f>
        <v>Editus</v>
      </c>
      <c r="E11" s="25">
        <f>IFERROR(__xludf.DUMMYFUNCTION("""COMPUTED_VALUE"""),2015.0)</f>
        <v>2015</v>
      </c>
      <c r="F11" s="24" t="str">
        <f>IFERROR(__xludf.DUMMYFUNCTION("""COMPUTED_VALUE"""),"Formiga; Formiga – Classificação; Formiga – Comportamento; Formiga – Ecologia; Formiga – Morfologia")</f>
        <v>Formiga; Formiga – Classificação; Formiga – Comportamento; Formiga – Ecologia; Formiga – Morfologia</v>
      </c>
      <c r="G11" s="28" t="str">
        <f>IFERROR(__xludf.DUMMYFUNCTION("""COMPUTED_VALUE"""),"9788574553986")</f>
        <v>9788574553986</v>
      </c>
      <c r="H11" s="29" t="str">
        <f>IFERROR(__xludf.DUMMYFUNCTION("""COMPUTED_VALUE"""),"http://www.uesc.br/editora/livrosdigitais2016/as_formigas_poneromorfas.pdf")</f>
        <v>http://www.uesc.br/editora/livrosdigitais2016/as_formigas_poneromorfas.pdf</v>
      </c>
      <c r="I11" s="24" t="str">
        <f>IFERROR(__xludf.DUMMYFUNCTION("""COMPUTED_VALUE"""),"Ciências Biológicas")</f>
        <v>Ciências Biológicas</v>
      </c>
    </row>
    <row r="12">
      <c r="A12" s="24" t="str">
        <f>IFERROR(__xludf.DUMMYFUNCTION("""COMPUTED_VALUE"""),"As serpentes dos cacauais do sudeste da Bahia ")</f>
        <v>As serpentes dos cacauais do sudeste da Bahia </v>
      </c>
      <c r="B12" s="24" t="str">
        <f>IFERROR(__xludf.DUMMYFUNCTION("""COMPUTED_VALUE"""),"Antônio Jorge; Suzart Argôlo")</f>
        <v>Antônio Jorge; Suzart Argôlo</v>
      </c>
      <c r="C12" s="24" t="str">
        <f>IFERROR(__xludf.DUMMYFUNCTION("""COMPUTED_VALUE"""),"Ilhéus, BA")</f>
        <v>Ilhéus, BA</v>
      </c>
      <c r="D12" s="24" t="str">
        <f>IFERROR(__xludf.DUMMYFUNCTION("""COMPUTED_VALUE"""),"Editus")</f>
        <v>Editus</v>
      </c>
      <c r="E12" s="25">
        <f>IFERROR(__xludf.DUMMYFUNCTION("""COMPUTED_VALUE"""),2004.0)</f>
        <v>2004</v>
      </c>
      <c r="F12" s="24" t="str">
        <f>IFERROR(__xludf.DUMMYFUNCTION("""COMPUTED_VALUE"""),"Cobra; Cobra – Bahia – Identificação; Serpentes – Bahia")</f>
        <v>Cobra; Cobra – Bahia – Identificação; Serpentes – Bahia</v>
      </c>
      <c r="G12" s="28" t="str">
        <f>IFERROR(__xludf.DUMMYFUNCTION("""COMPUTED_VALUE"""),"8574550671")</f>
        <v>8574550671</v>
      </c>
      <c r="H12" s="29" t="str">
        <f>IFERROR(__xludf.DUMMYFUNCTION("""COMPUTED_VALUE"""),"http://www.uesc.br/editora/livrosdigitais2016/as_serpentes_dos_cacauais_do_sudeste_da_bahia.pdf")</f>
        <v>http://www.uesc.br/editora/livrosdigitais2016/as_serpentes_dos_cacauais_do_sudeste_da_bahia.pdf</v>
      </c>
      <c r="I12" s="24" t="str">
        <f>IFERROR(__xludf.DUMMYFUNCTION("""COMPUTED_VALUE"""),"Ciências Biológicas")</f>
        <v>Ciências Biológicas</v>
      </c>
    </row>
    <row r="13">
      <c r="A13" s="24" t="str">
        <f>IFERROR(__xludf.DUMMYFUNCTION("""COMPUTED_VALUE"""),"Atividades práticas em biologia celular")</f>
        <v>Atividades práticas em biologia celular</v>
      </c>
      <c r="B13" s="24" t="str">
        <f>IFERROR(__xludf.DUMMYFUNCTION("""COMPUTED_VALUE"""),"Rocha, Marla Piumbini; Zefa, Edison; Rocha, Marla Piumbini; Timm, João Paulo Teló; Barcellos, Marcelo Silva")</f>
        <v>Rocha, Marla Piumbini; Zefa, Edison; Rocha, Marla Piumbini; Timm, João Paulo Teló; Barcellos, Marcelo Silva</v>
      </c>
      <c r="C13" s="24" t="str">
        <f>IFERROR(__xludf.DUMMYFUNCTION("""COMPUTED_VALUE"""),"Pelotas")</f>
        <v>Pelotas</v>
      </c>
      <c r="D13" s="24" t="str">
        <f>IFERROR(__xludf.DUMMYFUNCTION("""COMPUTED_VALUE"""),"UFPel")</f>
        <v>UFPel</v>
      </c>
      <c r="E13" s="25">
        <f>IFERROR(__xludf.DUMMYFUNCTION("""COMPUTED_VALUE"""),2018.0)</f>
        <v>2018</v>
      </c>
      <c r="F13" s="24" t="str">
        <f>IFERROR(__xludf.DUMMYFUNCTION("""COMPUTED_VALUE"""),"Biologia; Biologia celular; Material didático; Ensino")</f>
        <v>Biologia; Biologia celular; Material didático; Ensino</v>
      </c>
      <c r="G13" s="28" t="str">
        <f>IFERROR(__xludf.DUMMYFUNCTION("""COMPUTED_VALUE"""),"9788551700204")</f>
        <v>9788551700204</v>
      </c>
      <c r="H13" s="29" t="str">
        <f>IFERROR(__xludf.DUMMYFUNCTION("""COMPUTED_VALUE"""),"http://guaiaca.ufpel.edu.br/bitstream/prefix/4154/3/Atividades%20pr%c3%a1ticas%20em%20biologia%20celular.pdf")</f>
        <v>http://guaiaca.ufpel.edu.br/bitstream/prefix/4154/3/Atividades%20pr%c3%a1ticas%20em%20biologia%20celular.pdf</v>
      </c>
      <c r="I13" s="24" t="str">
        <f>IFERROR(__xludf.DUMMYFUNCTION("""COMPUTED_VALUE"""),"Ciências Biológicas")</f>
        <v>Ciências Biológicas</v>
      </c>
    </row>
    <row r="14">
      <c r="A14" s="24" t="str">
        <f>IFERROR(__xludf.DUMMYFUNCTION("""COMPUTED_VALUE"""),"Atividades Práticas em Biologia Celular")</f>
        <v>Atividades Práticas em Biologia Celular</v>
      </c>
      <c r="B14" s="24" t="str">
        <f>IFERROR(__xludf.DUMMYFUNCTION("""COMPUTED_VALUE"""),"José Eduardo Baroneza; (Organizador)")</f>
        <v>José Eduardo Baroneza; (Organizador)</v>
      </c>
      <c r="C14" s="24" t="str">
        <f>IFERROR(__xludf.DUMMYFUNCTION("""COMPUTED_VALUE"""),"Fortaleza, CE")</f>
        <v>Fortaleza, CE</v>
      </c>
      <c r="D14" s="24" t="str">
        <f>IFERROR(__xludf.DUMMYFUNCTION("""COMPUTED_VALUE"""),"Edições UFC")</f>
        <v>Edições UFC</v>
      </c>
      <c r="E14" s="25">
        <f>IFERROR(__xludf.DUMMYFUNCTION("""COMPUTED_VALUE"""),2019.0)</f>
        <v>2019</v>
      </c>
      <c r="F14" s="24" t="str">
        <f>IFERROR(__xludf.DUMMYFUNCTION("""COMPUTED_VALUE"""),"Biologia celular. Microscopia óptica. Aulas práticas")</f>
        <v>Biologia celular. Microscopia óptica. Aulas práticas</v>
      </c>
      <c r="G14" s="28" t="str">
        <f>IFERROR(__xludf.DUMMYFUNCTION("""COMPUTED_VALUE"""),"9788572827638")</f>
        <v>9788572827638</v>
      </c>
      <c r="H14" s="29" t="str">
        <f>IFERROR(__xludf.DUMMYFUNCTION("""COMPUTED_VALUE"""),"http://www.editora.ufc.br/catalogo/74-biologia/976-atividades-praticas-em-biologia-celular")</f>
        <v>http://www.editora.ufc.br/catalogo/74-biologia/976-atividades-praticas-em-biologia-celular</v>
      </c>
      <c r="I14" s="24" t="str">
        <f>IFERROR(__xludf.DUMMYFUNCTION("""COMPUTED_VALUE"""),"Ciências Biológicas")</f>
        <v>Ciências Biológicas</v>
      </c>
    </row>
    <row r="15">
      <c r="A15" s="24" t="str">
        <f>IFERROR(__xludf.DUMMYFUNCTION("""COMPUTED_VALUE"""),"Atlas dos músculos do cão")</f>
        <v>Atlas dos músculos do cão</v>
      </c>
      <c r="B15" s="24" t="str">
        <f>IFERROR(__xludf.DUMMYFUNCTION("""COMPUTED_VALUE"""),"Carlos López Plana; Pedro Mayor Aparicio; Josep Rutllant Labeaga; Manel López Béjar ")</f>
        <v>Carlos López Plana; Pedro Mayor Aparicio; Josep Rutllant Labeaga; Manel López Béjar </v>
      </c>
      <c r="C15" s="24" t="str">
        <f>IFERROR(__xludf.DUMMYFUNCTION("""COMPUTED_VALUE"""),"Belém")</f>
        <v>Belém</v>
      </c>
      <c r="D15" s="24" t="str">
        <f>IFERROR(__xludf.DUMMYFUNCTION("""COMPUTED_VALUE"""),"Edufra")</f>
        <v>Edufra</v>
      </c>
      <c r="E15" s="25">
        <f>IFERROR(__xludf.DUMMYFUNCTION("""COMPUTED_VALUE"""),2018.0)</f>
        <v>2018</v>
      </c>
      <c r="F15" s="24" t="str">
        <f>IFERROR(__xludf.DUMMYFUNCTION("""COMPUTED_VALUE"""),"Cão-Músculos; Anatomia canina")</f>
        <v>Cão-Músculos; Anatomia canina</v>
      </c>
      <c r="G15" s="28" t="str">
        <f>IFERROR(__xludf.DUMMYFUNCTION("""COMPUTED_VALUE"""),"9788572951388")</f>
        <v>9788572951388</v>
      </c>
      <c r="H15" s="29" t="str">
        <f>IFERROR(__xludf.DUMMYFUNCTION("""COMPUTED_VALUE"""),"https://portaleditora.ufra.edu.br/images/Atlas-dos-msculos-do-co.pdf")</f>
        <v>https://portaleditora.ufra.edu.br/images/Atlas-dos-msculos-do-co.pdf</v>
      </c>
      <c r="I15" s="24" t="str">
        <f>IFERROR(__xludf.DUMMYFUNCTION("""COMPUTED_VALUE"""),"Ciências Biológicas")</f>
        <v>Ciências Biológicas</v>
      </c>
    </row>
    <row r="16">
      <c r="A16" s="24" t="str">
        <f>IFERROR(__xludf.DUMMYFUNCTION("""COMPUTED_VALUE"""),"Aves do Acre")</f>
        <v>Aves do Acre</v>
      </c>
      <c r="B16" s="24" t="str">
        <f>IFERROR(__xludf.DUMMYFUNCTION("""COMPUTED_VALUE"""),"Edson Guilherme")</f>
        <v>Edson Guilherme</v>
      </c>
      <c r="C16" s="24" t="str">
        <f>IFERROR(__xludf.DUMMYFUNCTION("""COMPUTED_VALUE"""),"Rio Branco")</f>
        <v>Rio Branco</v>
      </c>
      <c r="D16" s="24" t="str">
        <f>IFERROR(__xludf.DUMMYFUNCTION("""COMPUTED_VALUE"""),"Edufac")</f>
        <v>Edufac</v>
      </c>
      <c r="E16" s="25">
        <f>IFERROR(__xludf.DUMMYFUNCTION("""COMPUTED_VALUE"""),2016.0)</f>
        <v>2016</v>
      </c>
      <c r="F16" s="24" t="str">
        <f>IFERROR(__xludf.DUMMYFUNCTION("""COMPUTED_VALUE"""),"Aves – Espécies – Acre; Acre – História")</f>
        <v>Aves – Espécies – Acre; Acre – História</v>
      </c>
      <c r="G16" s="28" t="str">
        <f>IFERROR(__xludf.DUMMYFUNCTION("""COMPUTED_VALUE"""),"9788598499246")</f>
        <v>9788598499246</v>
      </c>
      <c r="H16" s="29" t="str">
        <f>IFERROR(__xludf.DUMMYFUNCTION("""COMPUTED_VALUE"""),"http://www2.ufac.br/editora/livros/aves-do-acre.pdf")</f>
        <v>http://www2.ufac.br/editora/livros/aves-do-acre.pdf</v>
      </c>
      <c r="I16" s="24" t="str">
        <f>IFERROR(__xludf.DUMMYFUNCTION("""COMPUTED_VALUE"""),"Ciências Biológicas")</f>
        <v>Ciências Biológicas</v>
      </c>
    </row>
    <row r="17">
      <c r="A17" s="24" t="str">
        <f>IFERROR(__xludf.DUMMYFUNCTION("""COMPUTED_VALUE"""),"Aves estuarinas do Paraná = Estuarine birds of Paraná")</f>
        <v>Aves estuarinas do Paraná = Estuarine birds of Paraná</v>
      </c>
      <c r="B17" s="24" t="str">
        <f>IFERROR(__xludf.DUMMYFUNCTION("""COMPUTED_VALUE"""),"Meijer, André August Remi de; Disaro, Sibelle Trevisan")</f>
        <v>Meijer, André August Remi de; Disaro, Sibelle Trevisan</v>
      </c>
      <c r="C17" s="24" t="str">
        <f>IFERROR(__xludf.DUMMYFUNCTION("""COMPUTED_VALUE"""),"Curitiba")</f>
        <v>Curitiba</v>
      </c>
      <c r="D17" s="24" t="str">
        <f>IFERROR(__xludf.DUMMYFUNCTION("""COMPUTED_VALUE"""),"UFPR - Museu de Ciências Naturais")</f>
        <v>UFPR - Museu de Ciências Naturais</v>
      </c>
      <c r="E17" s="25">
        <f>IFERROR(__xludf.DUMMYFUNCTION("""COMPUTED_VALUE"""),2018.0)</f>
        <v>2018</v>
      </c>
      <c r="F17" s="24" t="str">
        <f>IFERROR(__xludf.DUMMYFUNCTION("""COMPUTED_VALUE"""),"Aves- Paraná; Ornitologia")</f>
        <v>Aves- Paraná; Ornitologia</v>
      </c>
      <c r="G17" s="28" t="str">
        <f>IFERROR(__xludf.DUMMYFUNCTION("""COMPUTED_VALUE"""),"9788592418816")</f>
        <v>9788592418816</v>
      </c>
      <c r="H17" s="29" t="str">
        <f>IFERROR(__xludf.DUMMYFUNCTION("""COMPUTED_VALUE"""),"http://hdl.handle.net/1884/54947")</f>
        <v>http://hdl.handle.net/1884/54947</v>
      </c>
      <c r="I17" s="24" t="str">
        <f>IFERROR(__xludf.DUMMYFUNCTION("""COMPUTED_VALUE"""),"Ciências Biológicas")</f>
        <v>Ciências Biológicas</v>
      </c>
    </row>
    <row r="18">
      <c r="A18" s="24" t="str">
        <f>IFERROR(__xludf.DUMMYFUNCTION("""COMPUTED_VALUE"""),"Aves no Campus = Birds on Campus")</f>
        <v>Aves no Campus = Birds on Campus</v>
      </c>
      <c r="B18" s="24" t="str">
        <f>IFERROR(__xludf.DUMMYFUNCTION("""COMPUTED_VALUE"""),"Rafael Henrique de Tonissi e Buschinelli de Goes")</f>
        <v>Rafael Henrique de Tonissi e Buschinelli de Goes</v>
      </c>
      <c r="C18" s="24" t="str">
        <f>IFERROR(__xludf.DUMMYFUNCTION("""COMPUTED_VALUE"""),"Dourados, MS")</f>
        <v>Dourados, MS</v>
      </c>
      <c r="D18" s="24" t="str">
        <f>IFERROR(__xludf.DUMMYFUNCTION("""COMPUTED_VALUE"""),"Ed. Universidade Federal da Grande Dourados")</f>
        <v>Ed. Universidade Federal da Grande Dourados</v>
      </c>
      <c r="E18" s="25">
        <f>IFERROR(__xludf.DUMMYFUNCTION("""COMPUTED_VALUE"""),2018.0)</f>
        <v>2018</v>
      </c>
      <c r="F18" s="24" t="str">
        <f>IFERROR(__xludf.DUMMYFUNCTION("""COMPUTED_VALUE"""),"Aves - Iconografia; Aves - Mato Grosso do Sul; Universidade Federal da Grande Dourados - Aves")</f>
        <v>Aves - Iconografia; Aves - Mato Grosso do Sul; Universidade Federal da Grande Dourados - Aves</v>
      </c>
      <c r="G18" s="28" t="str">
        <f>IFERROR(__xludf.DUMMYFUNCTION("""COMPUTED_VALUE"""),"9788581471563")</f>
        <v>9788581471563</v>
      </c>
      <c r="H18" s="29" t="str">
        <f>IFERROR(__xludf.DUMMYFUNCTION("""COMPUTED_VALUE"""),"http://omp.ufgd.edu.br/omp/index.php/livrosabertos/catalog/view/4/3/16-1")</f>
        <v>http://omp.ufgd.edu.br/omp/index.php/livrosabertos/catalog/view/4/3/16-1</v>
      </c>
      <c r="I18" s="24" t="str">
        <f>IFERROR(__xludf.DUMMYFUNCTION("""COMPUTED_VALUE"""),"Ciências Biológicas")</f>
        <v>Ciências Biológicas</v>
      </c>
    </row>
    <row r="19">
      <c r="A19" s="24" t="str">
        <f>IFERROR(__xludf.DUMMYFUNCTION("""COMPUTED_VALUE"""),"Bichos da Floresta do Parque Zoobotânico: conhecer para educar. aprender para multiplicar")</f>
        <v>Bichos da Floresta do Parque Zoobotânico: conhecer para educar. aprender para multiplicar</v>
      </c>
      <c r="B19" s="24" t="str">
        <f>IFERROR(__xludf.DUMMYFUNCTION("""COMPUTED_VALUE"""),"Regiane Guimarães da Silva, Armando Muiniz Calouro, Marília Angêla do Carmo, Jamylena Bezerra de Souza, Edilson Santana")</f>
        <v>Regiane Guimarães da Silva, Armando Muiniz Calouro, Marília Angêla do Carmo, Jamylena Bezerra de Souza, Edilson Santana</v>
      </c>
      <c r="C19" s="24" t="str">
        <f>IFERROR(__xludf.DUMMYFUNCTION("""COMPUTED_VALUE"""),"Rio Branco")</f>
        <v>Rio Branco</v>
      </c>
      <c r="D19" s="24" t="str">
        <f>IFERROR(__xludf.DUMMYFUNCTION("""COMPUTED_VALUE"""),"Edufac")</f>
        <v>Edufac</v>
      </c>
      <c r="E19" s="25">
        <f>IFERROR(__xludf.DUMMYFUNCTION("""COMPUTED_VALUE"""),2017.0)</f>
        <v>2017</v>
      </c>
      <c r="F19" s="24" t="str">
        <f>IFERROR(__xludf.DUMMYFUNCTION("""COMPUTED_VALUE"""),"Parque zoobotânico - Universidade Federal do Acre; Mamíferos; Educação ambiental; Universidade Federal do Acre")</f>
        <v>Parque zoobotânico - Universidade Federal do Acre; Mamíferos; Educação ambiental; Universidade Federal do Acre</v>
      </c>
      <c r="G19" s="28" t="str">
        <f>IFERROR(__xludf.DUMMYFUNCTION("""COMPUTED_VALUE"""),"9788582360705")</f>
        <v>9788582360705</v>
      </c>
      <c r="H19" s="29" t="str">
        <f>IFERROR(__xludf.DUMMYFUNCTION("""COMPUTED_VALUE"""),"http://www2.ufac.br/editora/livros/bichos-da-floresta-do-pz.pdf")</f>
        <v>http://www2.ufac.br/editora/livros/bichos-da-floresta-do-pz.pdf</v>
      </c>
      <c r="I19" s="24" t="str">
        <f>IFERROR(__xludf.DUMMYFUNCTION("""COMPUTED_VALUE"""),"Ciências Biológicas")</f>
        <v>Ciências Biológicas</v>
      </c>
    </row>
    <row r="20">
      <c r="A20" s="24" t="str">
        <f>IFERROR(__xludf.DUMMYFUNCTION("""COMPUTED_VALUE"""),"BIODIVERSIDADE AQUÁTICA DA CAATINGA PARAIBANA: LIMNOLOGIA, CONSERVAÇÃO E EDUCAÇÃO AMBIENTAL")</f>
        <v>BIODIVERSIDADE AQUÁTICA DA CAATINGA PARAIBANA: LIMNOLOGIA, CONSERVAÇÃO E EDUCAÇÃO AMBIENTAL</v>
      </c>
      <c r="B20" s="24" t="str">
        <f>IFERROR(__xludf.DUMMYFUNCTION("""COMPUTED_VALUE"""),"Francisco José Pegado Abílio, Hugo da Silva Florentino, Thiago Leite de Mello Russo.")</f>
        <v>Francisco José Pegado Abílio, Hugo da Silva Florentino, Thiago Leite de Mello Russo.</v>
      </c>
      <c r="C20" s="24" t="str">
        <f>IFERROR(__xludf.DUMMYFUNCTION("""COMPUTED_VALUE"""),"João Pessoa")</f>
        <v>João Pessoa</v>
      </c>
      <c r="D20" s="24" t="str">
        <f>IFERROR(__xludf.DUMMYFUNCTION("""COMPUTED_VALUE"""),"Editora da UFPB")</f>
        <v>Editora da UFPB</v>
      </c>
      <c r="E20" s="25">
        <f>IFERROR(__xludf.DUMMYFUNCTION("""COMPUTED_VALUE"""),2018.0)</f>
        <v>2018</v>
      </c>
      <c r="F20" s="24" t="str">
        <f>IFERROR(__xludf.DUMMYFUNCTION("""COMPUTED_VALUE"""),"Educação ambiental; Limnologia - Semiárido paraibano")</f>
        <v>Educação ambiental; Limnologia - Semiárido paraibano</v>
      </c>
      <c r="G20" s="28" t="str">
        <f>IFERROR(__xludf.DUMMYFUNCTION("""COMPUTED_VALUE"""),"9788523713331")</f>
        <v>9788523713331</v>
      </c>
      <c r="H20" s="29" t="str">
        <f>IFERROR(__xludf.DUMMYFUNCTION("""COMPUTED_VALUE"""),"http://www.editora.ufpb.br/sistema/press5/index.php/UFPB/catalog/book/121")</f>
        <v>http://www.editora.ufpb.br/sistema/press5/index.php/UFPB/catalog/book/121</v>
      </c>
      <c r="I20" s="24" t="str">
        <f>IFERROR(__xludf.DUMMYFUNCTION("""COMPUTED_VALUE"""),"Ciências Biológicas")</f>
        <v>Ciências Biológicas</v>
      </c>
    </row>
    <row r="21">
      <c r="A21" s="24" t="str">
        <f>IFERROR(__xludf.DUMMYFUNCTION("""COMPUTED_VALUE"""),"Biodiversidade e sociedade no Leste Metropolitano do Rio de Janeiro")</f>
        <v>Biodiversidade e sociedade no Leste Metropolitano do Rio de Janeiro</v>
      </c>
      <c r="B21" s="24" t="str">
        <f>IFERROR(__xludf.DUMMYFUNCTION("""COMPUTED_VALUE"""),"Marcelo Guerra Santos (org.)")</f>
        <v>Marcelo Guerra Santos (org.)</v>
      </c>
      <c r="C21" s="24" t="str">
        <f>IFERROR(__xludf.DUMMYFUNCTION("""COMPUTED_VALUE"""),"Rio de Janeiro")</f>
        <v>Rio de Janeiro</v>
      </c>
      <c r="D21" s="24" t="str">
        <f>IFERROR(__xludf.DUMMYFUNCTION("""COMPUTED_VALUE"""),"EdUERJ")</f>
        <v>EdUERJ</v>
      </c>
      <c r="E21" s="25">
        <f>IFERROR(__xludf.DUMMYFUNCTION("""COMPUTED_VALUE"""),2016.0)</f>
        <v>2016</v>
      </c>
      <c r="F21" s="24" t="str">
        <f>IFERROR(__xludf.DUMMYFUNCTION("""COMPUTED_VALUE"""),"Biodiversidade; Sociedade; Rio de Janeiro; Região Metropolitana")</f>
        <v>Biodiversidade; Sociedade; Rio de Janeiro; Região Metropolitana</v>
      </c>
      <c r="G21" s="28" t="str">
        <f>IFERROR(__xludf.DUMMYFUNCTION("""COMPUTED_VALUE"""),"9788575113776")</f>
        <v>9788575113776</v>
      </c>
      <c r="H21" s="29" t="str">
        <f>IFERROR(__xludf.DUMMYFUNCTION("""COMPUTED_VALUE"""),"https://www.eduerj.com/eng/?product=biodiversidade-e-sociedade-no-leste-metropolitano-do-rio-de-janeiro-ebook")</f>
        <v>https://www.eduerj.com/eng/?product=biodiversidade-e-sociedade-no-leste-metropolitano-do-rio-de-janeiro-ebook</v>
      </c>
      <c r="I21" s="24" t="str">
        <f>IFERROR(__xludf.DUMMYFUNCTION("""COMPUTED_VALUE"""),"Ciências Biológicas")</f>
        <v>Ciências Biológicas</v>
      </c>
    </row>
    <row r="22">
      <c r="A22" s="24" t="str">
        <f>IFERROR(__xludf.DUMMYFUNCTION("""COMPUTED_VALUE"""),"Biodiversidade em Santa Catarina: Parque Estadual da Serra Furada")</f>
        <v>Biodiversidade em Santa Catarina: Parque Estadual da Serra Furada</v>
      </c>
      <c r="B22" s="24" t="str">
        <f>IFERROR(__xludf.DUMMYFUNCTION("""COMPUTED_VALUE"""),"Santos, Robson dos; Citadini-Zanette, Vanilde; Elias, Guilherme Alves; Padilha, Peterson Teodoro")</f>
        <v>Santos, Robson dos; Citadini-Zanette, Vanilde; Elias, Guilherme Alves; Padilha, Peterson Teodoro</v>
      </c>
      <c r="C22" s="24" t="str">
        <f>IFERROR(__xludf.DUMMYFUNCTION("""COMPUTED_VALUE"""),"Criciúma")</f>
        <v>Criciúma</v>
      </c>
      <c r="D22" s="24" t="str">
        <f>IFERROR(__xludf.DUMMYFUNCTION("""COMPUTED_VALUE"""),"UNESC")</f>
        <v>UNESC</v>
      </c>
      <c r="E22" s="25">
        <f>IFERROR(__xludf.DUMMYFUNCTION("""COMPUTED_VALUE"""),2016.0)</f>
        <v>2016</v>
      </c>
      <c r="F22" s="24" t="str">
        <f>IFERROR(__xludf.DUMMYFUNCTION("""COMPUTED_VALUE"""),"Vegetação – Parque Estadual da Serra Furada (SC); Fitodiversidade; Levantamento florístico; Floresta Ombrófila Densa Montana; Bioma Mata Atlântica")</f>
        <v>Vegetação – Parque Estadual da Serra Furada (SC); Fitodiversidade; Levantamento florístico; Floresta Ombrófila Densa Montana; Bioma Mata Atlântica</v>
      </c>
      <c r="G22" s="28" t="str">
        <f>IFERROR(__xludf.DUMMYFUNCTION("""COMPUTED_VALUE"""),"9788584100637")</f>
        <v>9788584100637</v>
      </c>
      <c r="H22" s="29" t="str">
        <f>IFERROR(__xludf.DUMMYFUNCTION("""COMPUTED_VALUE"""),"http://repositorio.unesc.net/handle/1/4844")</f>
        <v>http://repositorio.unesc.net/handle/1/4844</v>
      </c>
      <c r="I22" s="24" t="str">
        <f>IFERROR(__xludf.DUMMYFUNCTION("""COMPUTED_VALUE"""),"Ciências Biológicas")</f>
        <v>Ciências Biológicas</v>
      </c>
    </row>
    <row r="23">
      <c r="A23" s="24" t="str">
        <f>IFERROR(__xludf.DUMMYFUNCTION("""COMPUTED_VALUE"""),"Biodiversidade na Serra de Santa Catarina - PB: Uma Proposta de Criação do Parque Estadual Serra das Águas Sertanejas (disponível temporariamente)")</f>
        <v>Biodiversidade na Serra de Santa Catarina - PB: Uma Proposta de Criação do Parque Estadual Serra das Águas Sertanejas (disponível temporariamente)</v>
      </c>
      <c r="B23" s="24" t="str">
        <f>IFERROR(__xludf.DUMMYFUNCTION("""COMPUTED_VALUE"""),"Helder Farias Pereira de Araujo; Arnaldo Honorato Vieira-Filho")</f>
        <v>Helder Farias Pereira de Araujo; Arnaldo Honorato Vieira-Filho</v>
      </c>
      <c r="C23" s="24" t="str">
        <f>IFERROR(__xludf.DUMMYFUNCTION("""COMPUTED_VALUE"""),"João Pessoa")</f>
        <v>João Pessoa</v>
      </c>
      <c r="D23" s="24" t="str">
        <f>IFERROR(__xludf.DUMMYFUNCTION("""COMPUTED_VALUE"""),"Editora da UFPB")</f>
        <v>Editora da UFPB</v>
      </c>
      <c r="E23" s="25">
        <f>IFERROR(__xludf.DUMMYFUNCTION("""COMPUTED_VALUE"""),2018.0)</f>
        <v>2018</v>
      </c>
      <c r="F23" s="24" t="str">
        <f>IFERROR(__xludf.DUMMYFUNCTION("""COMPUTED_VALUE"""),"Proteção ambiental - Paraíba. Serra de Santa Catarina - Unidade de Proteção Integral. Serra de Santa Catarina - Bio-diversidade")</f>
        <v>Proteção ambiental - Paraíba. Serra de Santa Catarina - Unidade de Proteção Integral. Serra de Santa Catarina - Bio-diversidade</v>
      </c>
      <c r="G23" s="28" t="str">
        <f>IFERROR(__xludf.DUMMYFUNCTION("""COMPUTED_VALUE"""),"9788523712990")</f>
        <v>9788523712990</v>
      </c>
      <c r="H23" s="29" t="str">
        <f>IFERROR(__xludf.DUMMYFUNCTION("""COMPUTED_VALUE"""),"http://www.editora.ufpb.br/sistema/press5/index.php/UFPB/catalog/book/314")</f>
        <v>http://www.editora.ufpb.br/sistema/press5/index.php/UFPB/catalog/book/314</v>
      </c>
      <c r="I23" s="24" t="str">
        <f>IFERROR(__xludf.DUMMYFUNCTION("""COMPUTED_VALUE"""),"Ciências Biológicas")</f>
        <v>Ciências Biológicas</v>
      </c>
    </row>
    <row r="24">
      <c r="A24" s="24" t="str">
        <f>IFERROR(__xludf.DUMMYFUNCTION("""COMPUTED_VALUE"""),"Biossegurança e pesquisa em tempos de Covid-19")</f>
        <v>Biossegurança e pesquisa em tempos de Covid-19</v>
      </c>
      <c r="B24" s="24" t="str">
        <f>IFERROR(__xludf.DUMMYFUNCTION("""COMPUTED_VALUE"""),"Melissa Medeiros Markoski, Cláudia Giuliano Bica")</f>
        <v>Melissa Medeiros Markoski, Cláudia Giuliano Bica</v>
      </c>
      <c r="C24" s="24" t="str">
        <f>IFERROR(__xludf.DUMMYFUNCTION("""COMPUTED_VALUE"""),"Porto Alegre")</f>
        <v>Porto Alegre</v>
      </c>
      <c r="D24" s="24" t="str">
        <f>IFERROR(__xludf.DUMMYFUNCTION("""COMPUTED_VALUE"""),"UFCSPA ")</f>
        <v>UFCSPA </v>
      </c>
      <c r="E24" s="25">
        <f>IFERROR(__xludf.DUMMYFUNCTION("""COMPUTED_VALUE"""),2020.0)</f>
        <v>2020</v>
      </c>
      <c r="F24" s="24" t="str">
        <f>IFERROR(__xludf.DUMMYFUNCTION("""COMPUTED_VALUE"""),"Contenção de Riscos Biológicos Laboratórios Segurança do Trabalhador Infecções por Coronavirus Comitê Técnico de Biossegurança da UFCSPA")</f>
        <v>Contenção de Riscos Biológicos Laboratórios Segurança do Trabalhador Infecções por Coronavirus Comitê Técnico de Biossegurança da UFCSPA</v>
      </c>
      <c r="G24" s="28" t="str">
        <f>IFERROR(__xludf.DUMMYFUNCTION("""COMPUTED_VALUE"""),"9786587950082")</f>
        <v>9786587950082</v>
      </c>
      <c r="H24" s="29" t="str">
        <f>IFERROR(__xludf.DUMMYFUNCTION("""COMPUTED_VALUE"""),"https://www.ufcspa.edu.br/editora_log/download.php?cod=017&amp;tipo=pdf")</f>
        <v>https://www.ufcspa.edu.br/editora_log/download.php?cod=017&amp;tipo=pdf</v>
      </c>
      <c r="I24" s="24" t="str">
        <f>IFERROR(__xludf.DUMMYFUNCTION("""COMPUTED_VALUE"""),"Ciências Biológicas")</f>
        <v>Ciências Biológicas</v>
      </c>
    </row>
    <row r="25">
      <c r="A25" s="24" t="str">
        <f>IFERROR(__xludf.DUMMYFUNCTION("""COMPUTED_VALUE"""),"Catálogo de Espécies de Pycnogonida do Brasil (disponível temporariamente)")</f>
        <v>Catálogo de Espécies de Pycnogonida do Brasil (disponível temporariamente)</v>
      </c>
      <c r="B25" s="24" t="str">
        <f>IFERROR(__xludf.DUMMYFUNCTION("""COMPUTED_VALUE"""),"Amorim Lucena, Martin Lindsey Christoffersen")</f>
        <v>Amorim Lucena, Martin Lindsey Christoffersen</v>
      </c>
      <c r="C25" s="24" t="str">
        <f>IFERROR(__xludf.DUMMYFUNCTION("""COMPUTED_VALUE"""),"João Pessoa")</f>
        <v>João Pessoa</v>
      </c>
      <c r="D25" s="24" t="str">
        <f>IFERROR(__xludf.DUMMYFUNCTION("""COMPUTED_VALUE"""),"Editora da UFPB")</f>
        <v>Editora da UFPB</v>
      </c>
      <c r="E25" s="25">
        <f>IFERROR(__xludf.DUMMYFUNCTION("""COMPUTED_VALUE"""),2017.0)</f>
        <v>2017</v>
      </c>
      <c r="F25" s="24" t="str">
        <f>IFERROR(__xludf.DUMMYFUNCTION("""COMPUTED_VALUE"""),"Ciências Biológicas; Espécies de pycnogonida. ; Artrópodes marinhos")</f>
        <v>Ciências Biológicas; Espécies de pycnogonida. ; Artrópodes marinhos</v>
      </c>
      <c r="G25" s="28" t="str">
        <f>IFERROR(__xludf.DUMMYFUNCTION("""COMPUTED_VALUE"""),"9788523712839")</f>
        <v>9788523712839</v>
      </c>
      <c r="H25" s="29" t="str">
        <f>IFERROR(__xludf.DUMMYFUNCTION("""COMPUTED_VALUE"""),"http://www.editora.ufpb.br/sistema/press5/index.php/UFPB/catalog/book/326")</f>
        <v>http://www.editora.ufpb.br/sistema/press5/index.php/UFPB/catalog/book/326</v>
      </c>
      <c r="I25" s="24" t="str">
        <f>IFERROR(__xludf.DUMMYFUNCTION("""COMPUTED_VALUE"""),"Ciências Biológicas")</f>
        <v>Ciências Biológicas</v>
      </c>
    </row>
    <row r="26">
      <c r="A26" s="24" t="str">
        <f>IFERROR(__xludf.DUMMYFUNCTION("""COMPUTED_VALUE"""),"Ciência aplicada para educação básica ")</f>
        <v>Ciência aplicada para educação básica </v>
      </c>
      <c r="B26" s="24" t="str">
        <f>IFERROR(__xludf.DUMMYFUNCTION("""COMPUTED_VALUE"""),"Derli Barbosa dos Santos, Leandro Márcio Moreira")</f>
        <v>Derli Barbosa dos Santos, Leandro Márcio Moreira</v>
      </c>
      <c r="C26" s="24" t="str">
        <f>IFERROR(__xludf.DUMMYFUNCTION("""COMPUTED_VALUE"""),"Ouro Preto")</f>
        <v>Ouro Preto</v>
      </c>
      <c r="D26" s="24" t="str">
        <f>IFERROR(__xludf.DUMMYFUNCTION("""COMPUTED_VALUE"""),"UFOP")</f>
        <v>UFOP</v>
      </c>
      <c r="E26" s="25">
        <f>IFERROR(__xludf.DUMMYFUNCTION("""COMPUTED_VALUE"""),2018.0)</f>
        <v>2018</v>
      </c>
      <c r="F26" s="24" t="str">
        <f>IFERROR(__xludf.DUMMYFUNCTION("""COMPUTED_VALUE"""),"Ciência - Estudo e ensino. Didática. Educação – Estudo e ensino. Material didático")</f>
        <v>Ciência - Estudo e ensino. Didática. Educação – Estudo e ensino. Material didático</v>
      </c>
      <c r="G26" s="28" t="str">
        <f>IFERROR(__xludf.DUMMYFUNCTION("""COMPUTED_VALUE"""),"9788528803686")</f>
        <v>9788528803686</v>
      </c>
      <c r="H26" s="29" t="str">
        <f>IFERROR(__xludf.DUMMYFUNCTION("""COMPUTED_VALUE"""),"https://www.editora.ufop.br/index.php/editora/catalog/view/152/121/397-1")</f>
        <v>https://www.editora.ufop.br/index.php/editora/catalog/view/152/121/397-1</v>
      </c>
      <c r="I26" s="24" t="str">
        <f>IFERROR(__xludf.DUMMYFUNCTION("""COMPUTED_VALUE"""),"Ciências Biológicas")</f>
        <v>Ciências Biológicas</v>
      </c>
    </row>
    <row r="27">
      <c r="A27" s="24" t="str">
        <f>IFERROR(__xludf.DUMMYFUNCTION("""COMPUTED_VALUE"""),"Ciências ambientais: pesquisas e interdisciplinaridades, educação ambiental, meio ambiente e sustentabilidade")</f>
        <v>Ciências ambientais: pesquisas e interdisciplinaridades, educação ambiental, meio ambiente e sustentabilidade</v>
      </c>
      <c r="B27" s="24" t="str">
        <f>IFERROR(__xludf.DUMMYFUNCTION("""COMPUTED_VALUE"""),"Altem Nascimento Pontes (org.)")</f>
        <v>Altem Nascimento Pontes (org.)</v>
      </c>
      <c r="C27" s="24" t="str">
        <f>IFERROR(__xludf.DUMMYFUNCTION("""COMPUTED_VALUE"""),"Belém")</f>
        <v>Belém</v>
      </c>
      <c r="D27" s="24" t="str">
        <f>IFERROR(__xludf.DUMMYFUNCTION("""COMPUTED_VALUE"""),"UEPA")</f>
        <v>UEPA</v>
      </c>
      <c r="E27" s="25">
        <f>IFERROR(__xludf.DUMMYFUNCTION("""COMPUTED_VALUE"""),2017.0)</f>
        <v>2017</v>
      </c>
      <c r="F27" s="24" t="str">
        <f>IFERROR(__xludf.DUMMYFUNCTION("""COMPUTED_VALUE"""),"Ciências ambientais; Educação ambiental-Pará; Desenvolvimento sustentável-Amazônia")</f>
        <v>Ciências ambientais; Educação ambiental-Pará; Desenvolvimento sustentável-Amazônia</v>
      </c>
      <c r="G27" s="28" t="str">
        <f>IFERROR(__xludf.DUMMYFUNCTION("""COMPUTED_VALUE"""),"9788584580163")</f>
        <v>9788584580163</v>
      </c>
      <c r="H27" s="33" t="str">
        <f>IFERROR(__xludf.DUMMYFUNCTION("""COMPUTED_VALUE"""),"https://paginas.uepa.br/eduepa/wp-content/uploads/2019/06/CI%C3%8ANCIAS-AMBIENTAIS-EBOOK-eduepa.pdf")</f>
        <v>https://paginas.uepa.br/eduepa/wp-content/uploads/2019/06/CI%C3%8ANCIAS-AMBIENTAIS-EBOOK-eduepa.pdf</v>
      </c>
      <c r="I27" s="24" t="str">
        <f>IFERROR(__xludf.DUMMYFUNCTION("""COMPUTED_VALUE"""),"Ciências Biológicas")</f>
        <v>Ciências Biológicas</v>
      </c>
    </row>
    <row r="28">
      <c r="A28" s="24" t="str">
        <f>IFERROR(__xludf.DUMMYFUNCTION("""COMPUTED_VALUE"""),"Ciências Biológicas: resultados dos projetos de iniciação científica da Universidade Federal do Amapá (2012-2016)")</f>
        <v>Ciências Biológicas: resultados dos projetos de iniciação científica da Universidade Federal do Amapá (2012-2016)</v>
      </c>
      <c r="B28" s="24" t="str">
        <f>IFERROR(__xludf.DUMMYFUNCTION("""COMPUTED_VALUE"""),"Organização de Alaan Ubaiara Brito, Cris Evelin da Costa Dalmácio e Helena Cristina Guimarães Queiroz Simões")</f>
        <v>Organização de Alaan Ubaiara Brito, Cris Evelin da Costa Dalmácio e Helena Cristina Guimarães Queiroz Simões</v>
      </c>
      <c r="C28" s="24" t="str">
        <f>IFERROR(__xludf.DUMMYFUNCTION("""COMPUTED_VALUE"""),"Macapá")</f>
        <v>Macapá</v>
      </c>
      <c r="D28" s="24" t="str">
        <f>IFERROR(__xludf.DUMMYFUNCTION("""COMPUTED_VALUE"""),"UNIFAP")</f>
        <v>UNIFAP</v>
      </c>
      <c r="E28" s="25">
        <f>IFERROR(__xludf.DUMMYFUNCTION("""COMPUTED_VALUE"""),2017.0)</f>
        <v>2017</v>
      </c>
      <c r="F28" s="24" t="str">
        <f>IFERROR(__xludf.DUMMYFUNCTION("""COMPUTED_VALUE"""),"Ciências Biológicas; Educação; Fauna; Flora")</f>
        <v>Ciências Biológicas; Educação; Fauna; Flora</v>
      </c>
      <c r="G28" s="28" t="str">
        <f>IFERROR(__xludf.DUMMYFUNCTION("""COMPUTED_VALUE"""),"9788562359637")</f>
        <v>9788562359637</v>
      </c>
      <c r="H28" s="29" t="str">
        <f>IFERROR(__xludf.DUMMYFUNCTION("""COMPUTED_VALUE"""),"https://www2.unifap.br/editora/files/2014/12/Livro-CB-finalizado.pdf")</f>
        <v>https://www2.unifap.br/editora/files/2014/12/Livro-CB-finalizado.pdf</v>
      </c>
      <c r="I28" s="24" t="str">
        <f>IFERROR(__xludf.DUMMYFUNCTION("""COMPUTED_VALUE"""),"Ciências Biológicas")</f>
        <v>Ciências Biológicas</v>
      </c>
    </row>
    <row r="29">
      <c r="A29" s="24" t="str">
        <f>IFERROR(__xludf.DUMMYFUNCTION("""COMPUTED_VALUE"""),"Complexo vegetacional sobre areia branca: campinaranas do sudoeste da Amazônia")</f>
        <v>Complexo vegetacional sobre areia branca: campinaranas do sudoeste da Amazônia</v>
      </c>
      <c r="B29" s="24" t="str">
        <f>IFERROR(__xludf.DUMMYFUNCTION("""COMPUTED_VALUE"""),"Organizadores; Thaline de Freitas Brito; Richarlly da Costa Silva; Sérgio Augusto Vidal de Oliveira; Marcos Silveira")</f>
        <v>Organizadores; Thaline de Freitas Brito; Richarlly da Costa Silva; Sérgio Augusto Vidal de Oliveira; Marcos Silveira</v>
      </c>
      <c r="C29" s="24" t="str">
        <f>IFERROR(__xludf.DUMMYFUNCTION("""COMPUTED_VALUE"""),"Rio Branco")</f>
        <v>Rio Branco</v>
      </c>
      <c r="D29" s="24" t="str">
        <f>IFERROR(__xludf.DUMMYFUNCTION("""COMPUTED_VALUE"""),"Edufac")</f>
        <v>Edufac</v>
      </c>
      <c r="E29" s="25">
        <f>IFERROR(__xludf.DUMMYFUNCTION("""COMPUTED_VALUE"""),2017.0)</f>
        <v>2017</v>
      </c>
      <c r="F29" s="24" t="str">
        <f>IFERROR(__xludf.DUMMYFUNCTION("""COMPUTED_VALUE"""),"Ecossistemas; Ecossistema – Amazônia; Ecologia – Areia branca - Amazônia; Universidade Federal do Acre")</f>
        <v>Ecossistemas; Ecossistema – Amazônia; Ecologia – Areia branca - Amazônia; Universidade Federal do Acre</v>
      </c>
      <c r="G29" s="28" t="str">
        <f>IFERROR(__xludf.DUMMYFUNCTION("""COMPUTED_VALUE"""),"9788582360439")</f>
        <v>9788582360439</v>
      </c>
      <c r="H29" s="34" t="str">
        <f>IFERROR(__xludf.DUMMYFUNCTION("""COMPUTED_VALUE"""),"http://www2.ufac.br/editora/livros/complexo-vegetacional-sobre-areia-branca.pdf")</f>
        <v>http://www2.ufac.br/editora/livros/complexo-vegetacional-sobre-areia-branca.pdf</v>
      </c>
      <c r="I29" s="24" t="str">
        <f>IFERROR(__xludf.DUMMYFUNCTION("""COMPUTED_VALUE"""),"Ciências Biológicas")</f>
        <v>Ciências Biológicas</v>
      </c>
    </row>
    <row r="30">
      <c r="A30" s="24" t="str">
        <f>IFERROR(__xludf.DUMMYFUNCTION("""COMPUTED_VALUE"""),"Composteira portátil: Manual técnico com passo a passo para construção e indicação de aplicações didáticas interdisciplinares")</f>
        <v>Composteira portátil: Manual técnico com passo a passo para construção e indicação de aplicações didáticas interdisciplinares</v>
      </c>
      <c r="B30" s="24" t="str">
        <f>IFERROR(__xludf.DUMMYFUNCTION("""COMPUTED_VALUE"""),"Überson Boaretto Rossa. Cristiano M. Caetano. Paola de Castro Calocci. Danielle Westphalen; ")</f>
        <v>Überson Boaretto Rossa. Cristiano M. Caetano. Paola de Castro Calocci. Danielle Westphalen; </v>
      </c>
      <c r="C30" s="24" t="str">
        <f>IFERROR(__xludf.DUMMYFUNCTION("""COMPUTED_VALUE"""),"Blumenau")</f>
        <v>Blumenau</v>
      </c>
      <c r="D30" s="24" t="str">
        <f>IFERROR(__xludf.DUMMYFUNCTION("""COMPUTED_VALUE"""),"Instituto Federal Catarinense")</f>
        <v>Instituto Federal Catarinense</v>
      </c>
      <c r="E30" s="25">
        <f>IFERROR(__xludf.DUMMYFUNCTION("""COMPUTED_VALUE"""),2016.0)</f>
        <v>2016</v>
      </c>
      <c r="F30" s="24" t="str">
        <f>IFERROR(__xludf.DUMMYFUNCTION("""COMPUTED_VALUE"""),"Compostagem. Agricultura Urbana - Agroecologia. Resíduos orgânicos como fertilizantes. Ecologia agrícola")</f>
        <v>Compostagem. Agricultura Urbana - Agroecologia. Resíduos orgânicos como fertilizantes. Ecologia agrícola</v>
      </c>
      <c r="G30" s="28" t="str">
        <f>IFERROR(__xludf.DUMMYFUNCTION("""COMPUTED_VALUE"""),"9788556440020")</f>
        <v>9788556440020</v>
      </c>
      <c r="H30" s="29" t="str">
        <f>IFERROR(__xludf.DUMMYFUNCTION("""COMPUTED_VALUE"""),"https://editora.ifc.edu.br/2019/04/30/composteira-portatil-manual-tecnico-com-passo-a-passo-para-construcao-e-indicacao-de-aplicacoes-didaticas-interdisciplinares/")</f>
        <v>https://editora.ifc.edu.br/2019/04/30/composteira-portatil-manual-tecnico-com-passo-a-passo-para-construcao-e-indicacao-de-aplicacoes-didaticas-interdisciplinares/</v>
      </c>
      <c r="I30" s="24" t="str">
        <f>IFERROR(__xludf.DUMMYFUNCTION("""COMPUTED_VALUE"""),"Ciências Biológicas")</f>
        <v>Ciências Biológicas</v>
      </c>
    </row>
    <row r="31">
      <c r="A31" s="24" t="str">
        <f>IFERROR(__xludf.DUMMYFUNCTION("""COMPUTED_VALUE"""),"Conchas de moluscos marinhos do Paraná")</f>
        <v>Conchas de moluscos marinhos do Paraná</v>
      </c>
      <c r="B31" s="24" t="str">
        <f>IFERROR(__xludf.DUMMYFUNCTION("""COMPUTED_VALUE"""),"Ferreira Junior, Augusto Luiz; Absher, Theresinha Monteiro; Christo, Susete Wambier")</f>
        <v>Ferreira Junior, Augusto Luiz; Absher, Theresinha Monteiro; Christo, Susete Wambier</v>
      </c>
      <c r="C31" s="24" t="str">
        <f>IFERROR(__xludf.DUMMYFUNCTION("""COMPUTED_VALUE"""),"Rio de Janeiro")</f>
        <v>Rio de Janeiro</v>
      </c>
      <c r="D31" s="24" t="str">
        <f>IFERROR(__xludf.DUMMYFUNCTION("""COMPUTED_VALUE"""),"Publiki")</f>
        <v>Publiki</v>
      </c>
      <c r="E31" s="25">
        <f>IFERROR(__xludf.DUMMYFUNCTION("""COMPUTED_VALUE"""),2015.0)</f>
        <v>2015</v>
      </c>
      <c r="F31" s="24" t="str">
        <f>IFERROR(__xludf.DUMMYFUNCTION("""COMPUTED_VALUE"""),"Moluscos - Paraná; Ciências Naturais - Paraná")</f>
        <v>Moluscos - Paraná; Ciências Naturais - Paraná</v>
      </c>
      <c r="G31" s="28" t="str">
        <f>IFERROR(__xludf.DUMMYFUNCTION("""COMPUTED_VALUE"""),"9788566631180")</f>
        <v>9788566631180</v>
      </c>
      <c r="H31" s="29" t="str">
        <f>IFERROR(__xludf.DUMMYFUNCTION("""COMPUTED_VALUE"""),"https://hdl.handle.net/1884/45943")</f>
        <v>https://hdl.handle.net/1884/45943</v>
      </c>
      <c r="I31" s="24" t="str">
        <f>IFERROR(__xludf.DUMMYFUNCTION("""COMPUTED_VALUE"""),"Ciências Biológicas")</f>
        <v>Ciências Biológicas</v>
      </c>
    </row>
    <row r="32">
      <c r="A32" s="24" t="str">
        <f>IFERROR(__xludf.DUMMYFUNCTION("""COMPUTED_VALUE"""),"Conchas de moluscos marinhos do Paraná: bivalves e gastrópodes")</f>
        <v>Conchas de moluscos marinhos do Paraná: bivalves e gastrópodes</v>
      </c>
      <c r="B32" s="24" t="str">
        <f>IFERROR(__xludf.DUMMYFUNCTION("""COMPUTED_VALUE"""),"Absher, Theresinha Monteiro; Ferreira Junior, Augusto Luiz; Christo, Susete Wambier")</f>
        <v>Absher, Theresinha Monteiro; Ferreira Junior, Augusto Luiz; Christo, Susete Wambier</v>
      </c>
      <c r="C32" s="24" t="str">
        <f>IFERROR(__xludf.DUMMYFUNCTION("""COMPUTED_VALUE"""),"Curitiba - PR/ São Bernardo do Campo - SC")</f>
        <v>Curitiba - PR/ São Bernardo do Campo - SC</v>
      </c>
      <c r="D32" s="24" t="str">
        <f>IFERROR(__xludf.DUMMYFUNCTION("""COMPUTED_VALUE"""),"Museu de Ciências Naturais")</f>
        <v>Museu de Ciências Naturais</v>
      </c>
      <c r="E32" s="25">
        <f>IFERROR(__xludf.DUMMYFUNCTION("""COMPUTED_VALUE"""),2020.0)</f>
        <v>2020</v>
      </c>
      <c r="F32" s="24" t="str">
        <f>IFERROR(__xludf.DUMMYFUNCTION("""COMPUTED_VALUE"""),"Moluscos - Paraná; Ciências Naturais - Paraná ambiental")</f>
        <v>Moluscos - Paraná; Ciências Naturais - Paraná ambiental</v>
      </c>
      <c r="G32" s="28" t="str">
        <f>IFERROR(__xludf.DUMMYFUNCTION("""COMPUTED_VALUE"""),"9786599064005")</f>
        <v>9786599064005</v>
      </c>
      <c r="H32" s="29" t="str">
        <f>IFERROR(__xludf.DUMMYFUNCTION("""COMPUTED_VALUE"""),"https://hdl.handle.net/1884/67105")</f>
        <v>https://hdl.handle.net/1884/67105</v>
      </c>
      <c r="I32" s="24" t="str">
        <f>IFERROR(__xludf.DUMMYFUNCTION("""COMPUTED_VALUE"""),"Ciências Biológicas")</f>
        <v>Ciências Biológicas</v>
      </c>
    </row>
    <row r="33">
      <c r="A33" s="24" t="str">
        <f>IFERROR(__xludf.DUMMYFUNCTION("""COMPUTED_VALUE"""),"Conservação da biodiversidade em paisagens antropizadas do Brasil")</f>
        <v>Conservação da biodiversidade em paisagens antropizadas do Brasil</v>
      </c>
      <c r="B33" s="24" t="str">
        <f>IFERROR(__xludf.DUMMYFUNCTION("""COMPUTED_VALUE"""),"Peres, Carlos A.")</f>
        <v>Peres, Carlos A.</v>
      </c>
      <c r="C33" s="24" t="str">
        <f>IFERROR(__xludf.DUMMYFUNCTION("""COMPUTED_VALUE"""),"Curitiba")</f>
        <v>Curitiba</v>
      </c>
      <c r="D33" s="24" t="str">
        <f>IFERROR(__xludf.DUMMYFUNCTION("""COMPUTED_VALUE"""),"UFPR")</f>
        <v>UFPR</v>
      </c>
      <c r="E33" s="25">
        <f>IFERROR(__xludf.DUMMYFUNCTION("""COMPUTED_VALUE"""),2013.0)</f>
        <v>2013</v>
      </c>
      <c r="F33" s="24" t="str">
        <f>IFERROR(__xludf.DUMMYFUNCTION("""COMPUTED_VALUE"""),"Biodiversidade; Florestas - Brasil; Livros")</f>
        <v>Biodiversidade; Florestas - Brasil; Livros</v>
      </c>
      <c r="G33" s="26"/>
      <c r="H33" s="29" t="str">
        <f>IFERROR(__xludf.DUMMYFUNCTION("""COMPUTED_VALUE"""),"https://hdl.handle.net/1884/63929")</f>
        <v>https://hdl.handle.net/1884/63929</v>
      </c>
      <c r="I33" s="24" t="str">
        <f>IFERROR(__xludf.DUMMYFUNCTION("""COMPUTED_VALUE"""),"Ciências Biológicas")</f>
        <v>Ciências Biológicas</v>
      </c>
    </row>
    <row r="34">
      <c r="A34" s="24" t="str">
        <f>IFERROR(__xludf.DUMMYFUNCTION("""COMPUTED_VALUE"""),"Conservação de Tartarugas Marinhas no Nordeste Brasileiro")</f>
        <v>Conservação de Tartarugas Marinhas no Nordeste Brasileiro</v>
      </c>
      <c r="B34" s="24" t="str">
        <f>IFERROR(__xludf.DUMMYFUNCTION("""COMPUTED_VALUE"""),"Jozélia Maria de Sousa Correia, Ednilza Maranhão dos Santos, Geraldo Jorge Barbosa de Moura")</f>
        <v>Jozélia Maria de Sousa Correia, Ednilza Maranhão dos Santos, Geraldo Jorge Barbosa de Moura</v>
      </c>
      <c r="C34" s="24" t="str">
        <f>IFERROR(__xludf.DUMMYFUNCTION("""COMPUTED_VALUE"""),"Recife")</f>
        <v>Recife</v>
      </c>
      <c r="D34" s="24" t="str">
        <f>IFERROR(__xludf.DUMMYFUNCTION("""COMPUTED_VALUE"""),"Editora Universitária da UFRPE")</f>
        <v>Editora Universitária da UFRPE</v>
      </c>
      <c r="E34" s="25">
        <f>IFERROR(__xludf.DUMMYFUNCTION("""COMPUTED_VALUE"""),2016.0)</f>
        <v>2016</v>
      </c>
      <c r="F34" s="24" t="str">
        <f>IFERROR(__xludf.DUMMYFUNCTION("""COMPUTED_VALUE"""),"Ambiente Marinho; Testudines; Quelônios; Preservação")</f>
        <v>Ambiente Marinho; Testudines; Quelônios; Preservação</v>
      </c>
      <c r="G34" s="28" t="str">
        <f>IFERROR(__xludf.DUMMYFUNCTION("""COMPUTED_VALUE"""),"9788579462382")</f>
        <v>9788579462382</v>
      </c>
      <c r="H34" s="29" t="str">
        <f>IFERROR(__xludf.DUMMYFUNCTION("""COMPUTED_VALUE"""),"https://www.dropbox.com/s/8178ye81j8ecquv/Conserva%C3%A7%C3%A3o_de_Tartarugas_web.pdf?dl=0")</f>
        <v>https://www.dropbox.com/s/8178ye81j8ecquv/Conserva%C3%A7%C3%A3o_de_Tartarugas_web.pdf?dl=0</v>
      </c>
      <c r="I34" s="24" t="str">
        <f>IFERROR(__xludf.DUMMYFUNCTION("""COMPUTED_VALUE"""),"Ciências Biológicas")</f>
        <v>Ciências Biológicas</v>
      </c>
    </row>
    <row r="35">
      <c r="A35" s="24" t="str">
        <f>IFERROR(__xludf.DUMMYFUNCTION("""COMPUTED_VALUE"""),"Contribuições da evolução biológica ao pensamento humano")</f>
        <v>Contribuições da evolução biológica ao pensamento humano</v>
      </c>
      <c r="B35" s="24" t="str">
        <f>IFERROR(__xludf.DUMMYFUNCTION("""COMPUTED_VALUE"""),"Drehmer, César; Dornelles, José Eduardo; Silveira, Tony da")</f>
        <v>Drehmer, César; Dornelles, José Eduardo; Silveira, Tony da</v>
      </c>
      <c r="C35" s="24" t="str">
        <f>IFERROR(__xludf.DUMMYFUNCTION("""COMPUTED_VALUE"""),"Pelotas")</f>
        <v>Pelotas</v>
      </c>
      <c r="D35" s="24" t="str">
        <f>IFERROR(__xludf.DUMMYFUNCTION("""COMPUTED_VALUE"""),"UFPel")</f>
        <v>UFPel</v>
      </c>
      <c r="E35" s="25">
        <f>IFERROR(__xludf.DUMMYFUNCTION("""COMPUTED_VALUE"""),2018.0)</f>
        <v>2018</v>
      </c>
      <c r="F35" s="24" t="str">
        <f>IFERROR(__xludf.DUMMYFUNCTION("""COMPUTED_VALUE"""),"Biologia; Evolução; Ciência; Pensamento")</f>
        <v>Biologia; Evolução; Ciência; Pensamento</v>
      </c>
      <c r="G35" s="28" t="str">
        <f>IFERROR(__xludf.DUMMYFUNCTION("""COMPUTED_VALUE"""),"9788551700266")</f>
        <v>9788551700266</v>
      </c>
      <c r="H35" s="29" t="str">
        <f>IFERROR(__xludf.DUMMYFUNCTION("""COMPUTED_VALUE"""),"http://guaiaca.ufpel.edu.br:8080/bitstream/prefix/4220/3/Contribui%c3%a7%c3%b5es_da_Evolu%c3%a7%c3%a3o_biologica_completo%20-%20reposit%c3%b3rio.pdf")</f>
        <v>http://guaiaca.ufpel.edu.br:8080/bitstream/prefix/4220/3/Contribui%c3%a7%c3%b5es_da_Evolu%c3%a7%c3%a3o_biologica_completo%20-%20reposit%c3%b3rio.pdf</v>
      </c>
      <c r="I35" s="24" t="str">
        <f>IFERROR(__xludf.DUMMYFUNCTION("""COMPUTED_VALUE"""),"Ciências Biológicas")</f>
        <v>Ciências Biológicas</v>
      </c>
    </row>
    <row r="36">
      <c r="A36" s="24" t="str">
        <f>IFERROR(__xludf.DUMMYFUNCTION("""COMPUTED_VALUE"""),"Contribuições para a gestão ambiental na estação ecológica do Tapacurá")</f>
        <v>Contribuições para a gestão ambiental na estação ecológica do Tapacurá</v>
      </c>
      <c r="B36" s="24" t="str">
        <f>IFERROR(__xludf.DUMMYFUNCTION("""COMPUTED_VALUE"""),"Geraldo Jorge Barbosa de Moura (org.)")</f>
        <v>Geraldo Jorge Barbosa de Moura (org.)</v>
      </c>
      <c r="C36" s="24" t="str">
        <f>IFERROR(__xludf.DUMMYFUNCTION("""COMPUTED_VALUE"""),"Recife")</f>
        <v>Recife</v>
      </c>
      <c r="D36" s="24" t="str">
        <f>IFERROR(__xludf.DUMMYFUNCTION("""COMPUTED_VALUE"""),"Editora Universitária da UFRPE")</f>
        <v>Editora Universitária da UFRPE</v>
      </c>
      <c r="E36" s="25">
        <f>IFERROR(__xludf.DUMMYFUNCTION("""COMPUTED_VALUE"""),2019.0)</f>
        <v>2019</v>
      </c>
      <c r="F36" s="24" t="str">
        <f>IFERROR(__xludf.DUMMYFUNCTION("""COMPUTED_VALUE"""),"Gestão Ambiental; Estação Ecológica do Tapacurá; Reserva Ambiental")</f>
        <v>Gestão Ambiental; Estação Ecológica do Tapacurá; Reserva Ambiental</v>
      </c>
      <c r="G36" s="28" t="str">
        <f>IFERROR(__xludf.DUMMYFUNCTION("""COMPUTED_VALUE"""),"9788579463358")</f>
        <v>9788579463358</v>
      </c>
      <c r="H36" s="29" t="str">
        <f>IFERROR(__xludf.DUMMYFUNCTION("""COMPUTED_VALUE"""),"https://drive.google.com/file/d/11Qck4xQj69je4OexBId2JvZw2g7ESSpW/view?usp=sharing")</f>
        <v>https://drive.google.com/file/d/11Qck4xQj69je4OexBId2JvZw2g7ESSpW/view?usp=sharing</v>
      </c>
      <c r="I36" s="24" t="str">
        <f>IFERROR(__xludf.DUMMYFUNCTION("""COMPUTED_VALUE"""),"Ciências Biológicas")</f>
        <v>Ciências Biológicas</v>
      </c>
    </row>
    <row r="37">
      <c r="A37" s="24" t="str">
        <f>IFERROR(__xludf.DUMMYFUNCTION("""COMPUTED_VALUE"""),"Corredores ecológicos: uma estratégia integradora na gestão de ecossistemas")</f>
        <v>Corredores ecológicos: uma estratégia integradora na gestão de ecossistemas</v>
      </c>
      <c r="B37" s="24" t="str">
        <f>IFERROR(__xludf.DUMMYFUNCTION("""COMPUTED_VALUE"""),"Brito, Francisco")</f>
        <v>Brito, Francisco</v>
      </c>
      <c r="C37" s="24" t="str">
        <f>IFERROR(__xludf.DUMMYFUNCTION("""COMPUTED_VALUE"""),"Florianópolis")</f>
        <v>Florianópolis</v>
      </c>
      <c r="D37" s="24" t="str">
        <f>IFERROR(__xludf.DUMMYFUNCTION("""COMPUTED_VALUE"""),"Editora da UFSC")</f>
        <v>Editora da UFSC</v>
      </c>
      <c r="E37" s="25">
        <f>IFERROR(__xludf.DUMMYFUNCTION("""COMPUTED_VALUE"""),2012.0)</f>
        <v>2012</v>
      </c>
      <c r="F37" s="24" t="str">
        <f>IFERROR(__xludf.DUMMYFUNCTION("""COMPUTED_VALUE"""),"Biologia;Ecossistema;Proteção ambiental;Conservação;Influência sobre a natureza")</f>
        <v>Biologia;Ecossistema;Proteção ambiental;Conservação;Influência sobre a natureza</v>
      </c>
      <c r="G37" s="28" t="str">
        <f>IFERROR(__xludf.DUMMYFUNCTION("""COMPUTED_VALUE"""),"9788532805997")</f>
        <v>9788532805997</v>
      </c>
      <c r="H37" s="29" t="str">
        <f>IFERROR(__xludf.DUMMYFUNCTION("""COMPUTED_VALUE"""),"https://repositorio.ufsc.br/handle/123456789/187610")</f>
        <v>https://repositorio.ufsc.br/handle/123456789/187610</v>
      </c>
      <c r="I37" s="24" t="str">
        <f>IFERROR(__xludf.DUMMYFUNCTION("""COMPUTED_VALUE"""),"Ciências Biológicas")</f>
        <v>Ciências Biológicas</v>
      </c>
    </row>
    <row r="38">
      <c r="A38" s="24" t="str">
        <f>IFERROR(__xludf.DUMMYFUNCTION("""COMPUTED_VALUE"""),"Cultura de Tecidos em Espécies Ornamentais")</f>
        <v>Cultura de Tecidos em Espécies Ornamentais</v>
      </c>
      <c r="B38" s="24" t="str">
        <f>IFERROR(__xludf.DUMMYFUNCTION("""COMPUTED_VALUE"""),"Moacir Pasqual; Edvan Alves Chagas (org.)")</f>
        <v>Moacir Pasqual; Edvan Alves Chagas (org.)</v>
      </c>
      <c r="C38" s="24" t="str">
        <f>IFERROR(__xludf.DUMMYFUNCTION("""COMPUTED_VALUE"""),"Boa Vista ")</f>
        <v>Boa Vista </v>
      </c>
      <c r="D38" s="24" t="str">
        <f>IFERROR(__xludf.DUMMYFUNCTION("""COMPUTED_VALUE"""),"UFRR")</f>
        <v>UFRR</v>
      </c>
      <c r="E38" s="25">
        <f>IFERROR(__xludf.DUMMYFUNCTION("""COMPUTED_VALUE"""),2016.0)</f>
        <v>2016</v>
      </c>
      <c r="F38" s="24" t="str">
        <f>IFERROR(__xludf.DUMMYFUNCTION("""COMPUTED_VALUE"""),"Botânica Genética vegetal; Melhoramento das plantas; Cultura dos tecidos (vegetal)")</f>
        <v>Botânica Genética vegetal; Melhoramento das plantas; Cultura dos tecidos (vegetal)</v>
      </c>
      <c r="G38" s="28" t="str">
        <f>IFERROR(__xludf.DUMMYFUNCTION("""COMPUTED_VALUE"""),"9788582881309")</f>
        <v>9788582881309</v>
      </c>
      <c r="H38" s="29" t="str">
        <f>IFERROR(__xludf.DUMMYFUNCTION("""COMPUTED_VALUE"""),"http://ufrr.br/editora/index.php/editais/category/40-editais?download=396:aonuaos70")</f>
        <v>http://ufrr.br/editora/index.php/editais/category/40-editais?download=396:aonuaos70</v>
      </c>
      <c r="I38" s="24" t="str">
        <f>IFERROR(__xludf.DUMMYFUNCTION("""COMPUTED_VALUE"""),"Ciências Biológicas")</f>
        <v>Ciências Biológicas</v>
      </c>
    </row>
    <row r="39">
      <c r="A39" s="24" t="str">
        <f>IFERROR(__xludf.DUMMYFUNCTION("""COMPUTED_VALUE"""),"Desafios do Manejo de Doenças Radiculares Causadas por Fungos")</f>
        <v>Desafios do Manejo de Doenças Radiculares Causadas por Fungos</v>
      </c>
      <c r="B39" s="24" t="str">
        <f>IFERROR(__xludf.DUMMYFUNCTION("""COMPUTED_VALUE"""),"Ueder P. Lopes e Sami J. Michereff (editores)")</f>
        <v>Ueder P. Lopes e Sami J. Michereff (editores)</v>
      </c>
      <c r="C39" s="24" t="str">
        <f>IFERROR(__xludf.DUMMYFUNCTION("""COMPUTED_VALUE"""),"Recife")</f>
        <v>Recife</v>
      </c>
      <c r="D39" s="24" t="str">
        <f>IFERROR(__xludf.DUMMYFUNCTION("""COMPUTED_VALUE"""),"Editora Universitária da UFRPE")</f>
        <v>Editora Universitária da UFRPE</v>
      </c>
      <c r="E39" s="25">
        <f>IFERROR(__xludf.DUMMYFUNCTION("""COMPUTED_VALUE"""),2018.0)</f>
        <v>2018</v>
      </c>
      <c r="F39" s="24" t="str">
        <f>IFERROR(__xludf.DUMMYFUNCTION("""COMPUTED_VALUE"""),"Fitopatologia; Raízes; Botânica; Doenças; Fungos")</f>
        <v>Fitopatologia; Raízes; Botânica; Doenças; Fungos</v>
      </c>
      <c r="G39" s="28" t="str">
        <f>IFERROR(__xludf.DUMMYFUNCTION("""COMPUTED_VALUE"""),"9788579463211")</f>
        <v>9788579463211</v>
      </c>
      <c r="H39" s="29" t="str">
        <f>IFERROR(__xludf.DUMMYFUNCTION("""COMPUTED_VALUE"""),"https://drive.google.com/file/d/1NBCwE8euKG7UkNtbhU2GGbpow0oyg6UA/view?usp=sharing ")</f>
        <v>https://drive.google.com/file/d/1NBCwE8euKG7UkNtbhU2GGbpow0oyg6UA/view?usp=sharing </v>
      </c>
      <c r="I39" s="24" t="str">
        <f>IFERROR(__xludf.DUMMYFUNCTION("""COMPUTED_VALUE"""),"Ciências Biológicas")</f>
        <v>Ciências Biológicas</v>
      </c>
    </row>
    <row r="40">
      <c r="A40" s="24" t="str">
        <f>IFERROR(__xludf.DUMMYFUNCTION("""COMPUTED_VALUE"""),"Desmaterialização dos resíduos sólidos: estratégias para a sustentabilidade")</f>
        <v>Desmaterialização dos resíduos sólidos: estratégias para a sustentabilidade</v>
      </c>
      <c r="B40" s="24" t="str">
        <f>IFERROR(__xludf.DUMMYFUNCTION("""COMPUTED_VALUE"""),"Thamirys Suelle da Silva, Mirella Maria Nóbrega Marques, Soraya Giovanetti El-Deir (org.)")</f>
        <v>Thamirys Suelle da Silva, Mirella Maria Nóbrega Marques, Soraya Giovanetti El-Deir (org.)</v>
      </c>
      <c r="C40" s="24" t="str">
        <f>IFERROR(__xludf.DUMMYFUNCTION("""COMPUTED_VALUE"""),"Recife")</f>
        <v>Recife</v>
      </c>
      <c r="D40" s="24" t="str">
        <f>IFERROR(__xludf.DUMMYFUNCTION("""COMPUTED_VALUE"""),"Editora Universitária da UFRPE")</f>
        <v>Editora Universitária da UFRPE</v>
      </c>
      <c r="E40" s="25">
        <f>IFERROR(__xludf.DUMMYFUNCTION("""COMPUTED_VALUE"""),2020.0)</f>
        <v>2020</v>
      </c>
      <c r="F40" s="24" t="str">
        <f>IFERROR(__xludf.DUMMYFUNCTION("""COMPUTED_VALUE"""),"Lixo; Aspectos ambientais; Sustentabilidade")</f>
        <v>Lixo; Aspectos ambientais; Sustentabilidade</v>
      </c>
      <c r="G40" s="28" t="str">
        <f>IFERROR(__xludf.DUMMYFUNCTION("""COMPUTED_VALUE"""),"9788579463594")</f>
        <v>9788579463594</v>
      </c>
      <c r="H40" s="29" t="str">
        <f>IFERROR(__xludf.DUMMYFUNCTION("""COMPUTED_VALUE"""),"https://drive.google.com/file/d/1GEp8ANUcoDlfwtRp4Y3125k-OdxmCyWR/view?usp=sharing ")</f>
        <v>https://drive.google.com/file/d/1GEp8ANUcoDlfwtRp4Y3125k-OdxmCyWR/view?usp=sharing </v>
      </c>
      <c r="I40" s="24" t="str">
        <f>IFERROR(__xludf.DUMMYFUNCTION("""COMPUTED_VALUE"""),"Ciências Biológicas")</f>
        <v>Ciências Biológicas</v>
      </c>
    </row>
    <row r="41">
      <c r="A41" s="24" t="str">
        <f>IFERROR(__xludf.DUMMYFUNCTION("""COMPUTED_VALUE"""),"Divergência Genética e Análise Dialélica em Pimenteiras Ornamentais: (Capsicum annuum L.) (disponível temporariamente)")</f>
        <v>Divergência Genética e Análise Dialélica em Pimenteiras Ornamentais: (Capsicum annuum L.) (disponível temporariamente)</v>
      </c>
      <c r="B41" s="24" t="str">
        <f>IFERROR(__xludf.DUMMYFUNCTION("""COMPUTED_VALUE"""),"Angela Maria dos Santos Pessoa, Elizanilda Ramalho do Rêgo, Mailson Monteiro do Rêgo")</f>
        <v>Angela Maria dos Santos Pessoa, Elizanilda Ramalho do Rêgo, Mailson Monteiro do Rêgo</v>
      </c>
      <c r="C41" s="24" t="str">
        <f>IFERROR(__xludf.DUMMYFUNCTION("""COMPUTED_VALUE"""),"João Pessoa")</f>
        <v>João Pessoa</v>
      </c>
      <c r="D41" s="24" t="str">
        <f>IFERROR(__xludf.DUMMYFUNCTION("""COMPUTED_VALUE"""),"Editora da UFPB")</f>
        <v>Editora da UFPB</v>
      </c>
      <c r="E41" s="25">
        <f>IFERROR(__xludf.DUMMYFUNCTION("""COMPUTED_VALUE"""),2017.0)</f>
        <v>2017</v>
      </c>
      <c r="F41" s="24" t="str">
        <f>IFERROR(__xludf.DUMMYFUNCTION("""COMPUTED_VALUE"""),"Pimenta. ; Capsicm annuum L; Pimenteiras ornamentais; Diversidade genética")</f>
        <v>Pimenta. ; Capsicm annuum L; Pimenteiras ornamentais; Diversidade genética</v>
      </c>
      <c r="G41" s="28" t="str">
        <f>IFERROR(__xludf.DUMMYFUNCTION("""COMPUTED_VALUE"""),"9788523712044")</f>
        <v>9788523712044</v>
      </c>
      <c r="H41" s="34" t="str">
        <f>IFERROR(__xludf.DUMMYFUNCTION("""COMPUTED_VALUE"""),"http://www.editora.ufpb.br/sistema/press5/index.php/UFPB/catalog/book/337")</f>
        <v>http://www.editora.ufpb.br/sistema/press5/index.php/UFPB/catalog/book/337</v>
      </c>
      <c r="I41" s="24" t="str">
        <f>IFERROR(__xludf.DUMMYFUNCTION("""COMPUTED_VALUE"""),"Ciências Biológicas")</f>
        <v>Ciências Biológicas</v>
      </c>
    </row>
    <row r="42">
      <c r="A42" s="24" t="str">
        <f>IFERROR(__xludf.DUMMYFUNCTION("""COMPUTED_VALUE"""),"Drosophila suzukii (Matsumura, 1931) (Diptera, Drosophilidae): biologia, ecologia e controle")</f>
        <v>Drosophila suzukii (Matsumura, 1931) (Diptera, Drosophilidae): biologia, ecologia e controle</v>
      </c>
      <c r="B42" s="24" t="str">
        <f>IFERROR(__xludf.DUMMYFUNCTION("""COMPUTED_VALUE"""),"Schlesener, Daniele C. H.; Wollmann, Jutiane; Machado, Cristiano T.; Nunes, Adrise M.; Gottschalk, Marco S.; Garcia, Flávio Roberto Mello")</f>
        <v>Schlesener, Daniele C. H.; Wollmann, Jutiane; Machado, Cristiano T.; Nunes, Adrise M.; Gottschalk, Marco S.; Garcia, Flávio Roberto Mello</v>
      </c>
      <c r="C42" s="24" t="str">
        <f>IFERROR(__xludf.DUMMYFUNCTION("""COMPUTED_VALUE"""),"Pelotas")</f>
        <v>Pelotas</v>
      </c>
      <c r="D42" s="24" t="str">
        <f>IFERROR(__xludf.DUMMYFUNCTION("""COMPUTED_VALUE"""),"UFPel")</f>
        <v>UFPel</v>
      </c>
      <c r="E42" s="25">
        <f>IFERROR(__xludf.DUMMYFUNCTION("""COMPUTED_VALUE"""),2017.0)</f>
        <v>2017</v>
      </c>
      <c r="F42" s="24" t="str">
        <f>IFERROR(__xludf.DUMMYFUNCTION("""COMPUTED_VALUE"""),"Entomologia; Drosófilas; Mosca-da-asa-manchada; Mosca-do-vinagre; Mosca-da-cereja; Biologia; Ecologia; Controle; Spotted wing drosophila; Biology; Ecology; Control; Drosophila")</f>
        <v>Entomologia; Drosófilas; Mosca-da-asa-manchada; Mosca-do-vinagre; Mosca-da-cereja; Biologia; Ecologia; Controle; Spotted wing drosophila; Biology; Ecology; Control; Drosophila</v>
      </c>
      <c r="G42" s="28" t="str">
        <f>IFERROR(__xludf.DUMMYFUNCTION("""COMPUTED_VALUE"""),"9788551700129")</f>
        <v>9788551700129</v>
      </c>
      <c r="H42" s="29" t="str">
        <f>IFERROR(__xludf.DUMMYFUNCTION("""COMPUTED_VALUE"""),"http://repositorio.ufpel.edu.br:8080/bitstream/prefix/3714/6/drosophila_epub.epub")</f>
        <v>http://repositorio.ufpel.edu.br:8080/bitstream/prefix/3714/6/drosophila_epub.epub</v>
      </c>
      <c r="I42" s="24" t="str">
        <f>IFERROR(__xludf.DUMMYFUNCTION("""COMPUTED_VALUE"""),"Ciências Biológicas")</f>
        <v>Ciências Biológicas</v>
      </c>
    </row>
    <row r="43">
      <c r="A43" s="24" t="str">
        <f>IFERROR(__xludf.DUMMYFUNCTION("""COMPUTED_VALUE"""),"Ecologia e Manejo de Patógenos Radiculares em Solos Tropicais")</f>
        <v>Ecologia e Manejo de Patógenos Radiculares em Solos Tropicais</v>
      </c>
      <c r="B43" s="24" t="str">
        <f>IFERROR(__xludf.DUMMYFUNCTION("""COMPUTED_VALUE"""),"Sami J. Michereff, Domingos E.G.T. Andrade e Maria Menezes (Editores)")</f>
        <v>Sami J. Michereff, Domingos E.G.T. Andrade e Maria Menezes (Editores)</v>
      </c>
      <c r="C43" s="24" t="str">
        <f>IFERROR(__xludf.DUMMYFUNCTION("""COMPUTED_VALUE"""),"Recife")</f>
        <v>Recife</v>
      </c>
      <c r="D43" s="24" t="str">
        <f>IFERROR(__xludf.DUMMYFUNCTION("""COMPUTED_VALUE"""),"Editora Universitária da UFRPE")</f>
        <v>Editora Universitária da UFRPE</v>
      </c>
      <c r="E43" s="25">
        <f>IFERROR(__xludf.DUMMYFUNCTION("""COMPUTED_VALUE"""),2005.0)</f>
        <v>2005</v>
      </c>
      <c r="F43" s="24" t="str">
        <f>IFERROR(__xludf.DUMMYFUNCTION("""COMPUTED_VALUE"""),"Patógeno radicular; Inoculação; Ecologia; Manejo; Controle químico")</f>
        <v>Patógeno radicular; Inoculação; Ecologia; Manejo; Controle químico</v>
      </c>
      <c r="G43" s="28" t="str">
        <f>IFERROR(__xludf.DUMMYFUNCTION("""COMPUTED_VALUE"""),"8587459090")</f>
        <v>8587459090</v>
      </c>
      <c r="H43" s="29" t="str">
        <f>IFERROR(__xludf.DUMMYFUNCTION("""COMPUTED_VALUE"""),"https://www.dropbox.com/s/2v6sypeo3e9l28j/Michereff%20et%20al.%20%282005%29%20-%20Pat%C3%B3genos%20radiculares.pdf?dl=0")</f>
        <v>https://www.dropbox.com/s/2v6sypeo3e9l28j/Michereff%20et%20al.%20%282005%29%20-%20Pat%C3%B3genos%20radiculares.pdf?dl=0</v>
      </c>
      <c r="I43" s="24" t="str">
        <f>IFERROR(__xludf.DUMMYFUNCTION("""COMPUTED_VALUE"""),"Ciências Biológicas")</f>
        <v>Ciências Biológicas</v>
      </c>
    </row>
    <row r="44">
      <c r="A44" s="24" t="str">
        <f>IFERROR(__xludf.DUMMYFUNCTION("""COMPUTED_VALUE"""),"Ecossistemas aquáticos: bases para o conhecimento")</f>
        <v>Ecossistemas aquáticos: bases para o conhecimento</v>
      </c>
      <c r="B44" s="24" t="str">
        <f>IFERROR(__xludf.DUMMYFUNCTION("""COMPUTED_VALUE"""),"Raimundo Anderson Lobão de Souza (org.)")</f>
        <v>Raimundo Anderson Lobão de Souza (org.)</v>
      </c>
      <c r="C44" s="24" t="str">
        <f>IFERROR(__xludf.DUMMYFUNCTION("""COMPUTED_VALUE"""),"Belém")</f>
        <v>Belém</v>
      </c>
      <c r="D44" s="24" t="str">
        <f>IFERROR(__xludf.DUMMYFUNCTION("""COMPUTED_VALUE"""),"Edufra")</f>
        <v>Edufra</v>
      </c>
      <c r="E44" s="25">
        <f>IFERROR(__xludf.DUMMYFUNCTION("""COMPUTED_VALUE"""),2013.0)</f>
        <v>2013</v>
      </c>
      <c r="F44" s="24" t="str">
        <f>IFERROR(__xludf.DUMMYFUNCTION("""COMPUTED_VALUE"""),"Ecossistemas aquáticos; Ciências ambientais; Sustentabilidade")</f>
        <v>Ecossistemas aquáticos; Ciências ambientais; Sustentabilidade</v>
      </c>
      <c r="G44" s="28" t="str">
        <f>IFERROR(__xludf.DUMMYFUNCTION("""COMPUTED_VALUE"""),"9788572950732")</f>
        <v>9788572950732</v>
      </c>
      <c r="H44" s="29" t="str">
        <f>IFERROR(__xludf.DUMMYFUNCTION("""COMPUTED_VALUE"""),"https://www.yumpu.com/xx/embed/view/sKrEU10mpAh4z5Pk")</f>
        <v>https://www.yumpu.com/xx/embed/view/sKrEU10mpAh4z5Pk</v>
      </c>
      <c r="I44" s="24" t="str">
        <f>IFERROR(__xludf.DUMMYFUNCTION("""COMPUTED_VALUE"""),"Ciências Biológicas")</f>
        <v>Ciências Biológicas</v>
      </c>
    </row>
    <row r="45">
      <c r="A45" s="24" t="str">
        <f>IFERROR(__xludf.DUMMYFUNCTION("""COMPUTED_VALUE"""),"Ecossistemas aquáticos: tópicos especiais")</f>
        <v>Ecossistemas aquáticos: tópicos especiais</v>
      </c>
      <c r="B45" s="24" t="str">
        <f>IFERROR(__xludf.DUMMYFUNCTION("""COMPUTED_VALUE"""),"Raimundo Aderson Lobão de Souza (org.)")</f>
        <v>Raimundo Aderson Lobão de Souza (org.)</v>
      </c>
      <c r="C45" s="24" t="str">
        <f>IFERROR(__xludf.DUMMYFUNCTION("""COMPUTED_VALUE"""),"Belém")</f>
        <v>Belém</v>
      </c>
      <c r="D45" s="24" t="str">
        <f>IFERROR(__xludf.DUMMYFUNCTION("""COMPUTED_VALUE"""),"Edufra")</f>
        <v>Edufra</v>
      </c>
      <c r="E45" s="25">
        <f>IFERROR(__xludf.DUMMYFUNCTION("""COMPUTED_VALUE"""),2018.0)</f>
        <v>2018</v>
      </c>
      <c r="F45" s="24" t="str">
        <f>IFERROR(__xludf.DUMMYFUNCTION("""COMPUTED_VALUE"""),"Ecossistemas Aquáticos; Ecossistemas Aquáticos – poluição; Várzea - Amazônia; Peixes - cultivo; Camarão – cultivo")</f>
        <v>Ecossistemas Aquáticos; Ecossistemas Aquáticos – poluição; Várzea - Amazônia; Peixes - cultivo; Camarão – cultivo</v>
      </c>
      <c r="G45" s="28" t="str">
        <f>IFERROR(__xludf.DUMMYFUNCTION("""COMPUTED_VALUE"""),"9788572951302")</f>
        <v>9788572951302</v>
      </c>
      <c r="H45" s="29" t="str">
        <f>IFERROR(__xludf.DUMMYFUNCTION("""COMPUTED_VALUE"""),"https://portaleditora.ufra.edu.br/images/ecossistemas_aquaticos_ok.pdf")</f>
        <v>https://portaleditora.ufra.edu.br/images/ecossistemas_aquaticos_ok.pdf</v>
      </c>
      <c r="I45" s="24" t="str">
        <f>IFERROR(__xludf.DUMMYFUNCTION("""COMPUTED_VALUE"""),"Ciências Biológicas")</f>
        <v>Ciências Biológicas</v>
      </c>
    </row>
    <row r="46">
      <c r="A46" s="24" t="str">
        <f>IFERROR(__xludf.DUMMYFUNCTION("""COMPUTED_VALUE"""),"Estado da Arte em Fitobacterioses Tropicais")</f>
        <v>Estado da Arte em Fitobacterioses Tropicais</v>
      </c>
      <c r="B46" s="24" t="str">
        <f>IFERROR(__xludf.DUMMYFUNCTION("""COMPUTED_VALUE"""),"Marco A.S. Gama, Alessandro Nicoli, Lilian M.P. Guimarães, Ueder P. Lopes, Sami J. Michereff (Editores)")</f>
        <v>Marco A.S. Gama, Alessandro Nicoli, Lilian M.P. Guimarães, Ueder P. Lopes, Sami J. Michereff (Editores)</v>
      </c>
      <c r="C46" s="24" t="str">
        <f>IFERROR(__xludf.DUMMYFUNCTION("""COMPUTED_VALUE"""),"Recife")</f>
        <v>Recife</v>
      </c>
      <c r="D46" s="24" t="str">
        <f>IFERROR(__xludf.DUMMYFUNCTION("""COMPUTED_VALUE"""),"Editora Universitária da UFRPE")</f>
        <v>Editora Universitária da UFRPE</v>
      </c>
      <c r="E46" s="25">
        <f>IFERROR(__xludf.DUMMYFUNCTION("""COMPUTED_VALUE"""),2016.0)</f>
        <v>2016</v>
      </c>
      <c r="F46" s="24" t="str">
        <f>IFERROR(__xludf.DUMMYFUNCTION("""COMPUTED_VALUE"""),"Fitobactérias; Fitobacterioses; Manejo de doenças")</f>
        <v>Fitobactérias; Fitobacterioses; Manejo de doenças</v>
      </c>
      <c r="G46" s="28" t="str">
        <f>IFERROR(__xludf.DUMMYFUNCTION("""COMPUTED_VALUE"""),"788579462597")</f>
        <v>788579462597</v>
      </c>
      <c r="H46" s="29" t="str">
        <f>IFERROR(__xludf.DUMMYFUNCTION("""COMPUTED_VALUE"""),"https://www.dropbox.com/s/yrdphyi8ho713t3/Estado_arte_fitobacterioses_tropicais.pdf?dl=0")</f>
        <v>https://www.dropbox.com/s/yrdphyi8ho713t3/Estado_arte_fitobacterioses_tropicais.pdf?dl=0</v>
      </c>
      <c r="I46" s="24" t="str">
        <f>IFERROR(__xludf.DUMMYFUNCTION("""COMPUTED_VALUE"""),"Ciências Biológicas")</f>
        <v>Ciências Biológicas</v>
      </c>
    </row>
    <row r="47">
      <c r="A47" s="24" t="str">
        <f>IFERROR(__xludf.DUMMYFUNCTION("""COMPUTED_VALUE"""),"Etnobotânica e botânica econômica do Acre")</f>
        <v>Etnobotânica e botânica econômica do Acre</v>
      </c>
      <c r="B47" s="24" t="str">
        <f>IFERROR(__xludf.DUMMYFUNCTION("""COMPUTED_VALUE"""),"ORGANIZADORES; Amauri Siviero; Lin Chau Ming; Marcos Silveira; Douglas Charles Daly; Richard Hood Wallace")</f>
        <v>ORGANIZADORES; Amauri Siviero; Lin Chau Ming; Marcos Silveira; Douglas Charles Daly; Richard Hood Wallace</v>
      </c>
      <c r="C47" s="24" t="str">
        <f>IFERROR(__xludf.DUMMYFUNCTION("""COMPUTED_VALUE"""),"Rio Branco")</f>
        <v>Rio Branco</v>
      </c>
      <c r="D47" s="24" t="str">
        <f>IFERROR(__xludf.DUMMYFUNCTION("""COMPUTED_VALUE"""),"Edufac")</f>
        <v>Edufac</v>
      </c>
      <c r="E47" s="25">
        <f>IFERROR(__xludf.DUMMYFUNCTION("""COMPUTED_VALUE"""),2016.0)</f>
        <v>2016</v>
      </c>
      <c r="F47" s="24" t="str">
        <f>IFERROR(__xludf.DUMMYFUNCTION("""COMPUTED_VALUE"""),"Etnobotânica - Acre; Botânica econômica; Agrobiodiversidade; Manejo florestal; Universidade Federal do Acre")</f>
        <v>Etnobotânica - Acre; Botânica econômica; Agrobiodiversidade; Manejo florestal; Universidade Federal do Acre</v>
      </c>
      <c r="G47" s="28" t="str">
        <f>IFERROR(__xludf.DUMMYFUNCTION("""COMPUTED_VALUE"""),"9788582360279")</f>
        <v>9788582360279</v>
      </c>
      <c r="H47" s="29" t="str">
        <f>IFERROR(__xludf.DUMMYFUNCTION("""COMPUTED_VALUE"""),"http://www2.ufac.br/editora/livros/etnobotanica.pdf")</f>
        <v>http://www2.ufac.br/editora/livros/etnobotanica.pdf</v>
      </c>
      <c r="I47" s="24" t="str">
        <f>IFERROR(__xludf.DUMMYFUNCTION("""COMPUTED_VALUE"""),"Ciências Biológicas")</f>
        <v>Ciências Biológicas</v>
      </c>
    </row>
    <row r="48">
      <c r="A48" s="24" t="str">
        <f>IFERROR(__xludf.DUMMYFUNCTION("""COMPUTED_VALUE"""),"Farmacognosia: Coletânea de Estudos")</f>
        <v>Farmacognosia: Coletânea de Estudos</v>
      </c>
      <c r="B48" s="24" t="str">
        <f>IFERROR(__xludf.DUMMYFUNCTION("""COMPUTED_VALUE"""),"Gustavo Henrique Bianco de Souza; João Carlos Palazzo de Mello; Norberto Pepporini Lopes")</f>
        <v>Gustavo Henrique Bianco de Souza; João Carlos Palazzo de Mello; Norberto Pepporini Lopes</v>
      </c>
      <c r="C48" s="24" t="str">
        <f>IFERROR(__xludf.DUMMYFUNCTION("""COMPUTED_VALUE"""),"Ouro Preto")</f>
        <v>Ouro Preto</v>
      </c>
      <c r="D48" s="24" t="str">
        <f>IFERROR(__xludf.DUMMYFUNCTION("""COMPUTED_VALUE"""),"UFOP")</f>
        <v>UFOP</v>
      </c>
      <c r="E48" s="25">
        <f>IFERROR(__xludf.DUMMYFUNCTION("""COMPUTED_VALUE"""),2011.0)</f>
        <v>2011</v>
      </c>
      <c r="F48" s="24" t="str">
        <f>IFERROR(__xludf.DUMMYFUNCTION("""COMPUTED_VALUE"""),"Farmacognosia - Pesquisa. Farmacognosia - Ensino")</f>
        <v>Farmacognosia - Pesquisa. Farmacognosia - Ensino</v>
      </c>
      <c r="G48" s="28" t="str">
        <f>IFERROR(__xludf.DUMMYFUNCTION("""COMPUTED_VALUE"""),"9788528802702")</f>
        <v>9788528802702</v>
      </c>
      <c r="H48" s="34" t="str">
        <f>IFERROR(__xludf.DUMMYFUNCTION("""COMPUTED_VALUE"""),"https://www.editora.ufop.br/index.php/editora/catalog/view/52/37/123-1")</f>
        <v>https://www.editora.ufop.br/index.php/editora/catalog/view/52/37/123-1</v>
      </c>
      <c r="I48" s="24" t="str">
        <f>IFERROR(__xludf.DUMMYFUNCTION("""COMPUTED_VALUE"""),"Ciências Biológicas")</f>
        <v>Ciências Biológicas</v>
      </c>
    </row>
    <row r="49">
      <c r="A49" s="24" t="str">
        <f>IFERROR(__xludf.DUMMYFUNCTION("""COMPUTED_VALUE"""),"Ferramentas da Qualidade Aplicadas à Gestão Ambiental")</f>
        <v>Ferramentas da Qualidade Aplicadas à Gestão Ambiental</v>
      </c>
      <c r="B49" s="24" t="str">
        <f>IFERROR(__xludf.DUMMYFUNCTION("""COMPUTED_VALUE"""),"Romildo Morant de Holanda, Ana Paula Xavier de Gondra Bezerra, Emmanuelle Maria Gonçalves Lorena, Ítala Gabriela Sobral dos Santos")</f>
        <v>Romildo Morant de Holanda, Ana Paula Xavier de Gondra Bezerra, Emmanuelle Maria Gonçalves Lorena, Ítala Gabriela Sobral dos Santos</v>
      </c>
      <c r="C49" s="24" t="str">
        <f>IFERROR(__xludf.DUMMYFUNCTION("""COMPUTED_VALUE"""),"Recife")</f>
        <v>Recife</v>
      </c>
      <c r="D49" s="24" t="str">
        <f>IFERROR(__xludf.DUMMYFUNCTION("""COMPUTED_VALUE"""),"Editora Universitária da UFRPE")</f>
        <v>Editora Universitária da UFRPE</v>
      </c>
      <c r="E49" s="25">
        <f>IFERROR(__xludf.DUMMYFUNCTION("""COMPUTED_VALUE"""),2017.0)</f>
        <v>2017</v>
      </c>
      <c r="F49" s="24" t="str">
        <f>IFERROR(__xludf.DUMMYFUNCTION("""COMPUTED_VALUE"""),"Gestão da qualidade e ambiental; Gestão ambiental; Ferramentas")</f>
        <v>Gestão da qualidade e ambiental; Gestão ambiental; Ferramentas</v>
      </c>
      <c r="G49" s="28" t="str">
        <f>IFERROR(__xludf.DUMMYFUNCTION("""COMPUTED_VALUE"""),"9788579462900")</f>
        <v>9788579462900</v>
      </c>
      <c r="H49" s="29" t="str">
        <f>IFERROR(__xludf.DUMMYFUNCTION("""COMPUTED_VALUE"""),"https://www.dropbox.com/s/v7dq2ft8sbfih65/Livro_Ferramentas_da_Qualidade_Ajuste.pdf?dl=0")</f>
        <v>https://www.dropbox.com/s/v7dq2ft8sbfih65/Livro_Ferramentas_da_Qualidade_Ajuste.pdf?dl=0</v>
      </c>
      <c r="I49" s="24" t="str">
        <f>IFERROR(__xludf.DUMMYFUNCTION("""COMPUTED_VALUE"""),"Ciências Biológicas")</f>
        <v>Ciências Biológicas</v>
      </c>
    </row>
    <row r="50">
      <c r="A50" s="24" t="str">
        <f>IFERROR(__xludf.DUMMYFUNCTION("""COMPUTED_VALUE"""),"Fibras vegetais para compósitos poliméricos")</f>
        <v>Fibras vegetais para compósitos poliméricos</v>
      </c>
      <c r="B50" s="24" t="str">
        <f>IFERROR(__xludf.DUMMYFUNCTION("""COMPUTED_VALUE"""),"Celso Carlino Maria Fornari Junior")</f>
        <v>Celso Carlino Maria Fornari Junior</v>
      </c>
      <c r="C50" s="24" t="str">
        <f>IFERROR(__xludf.DUMMYFUNCTION("""COMPUTED_VALUE"""),"Ilhéus, BA")</f>
        <v>Ilhéus, BA</v>
      </c>
      <c r="D50" s="24" t="str">
        <f>IFERROR(__xludf.DUMMYFUNCTION("""COMPUTED_VALUE"""),"Editus")</f>
        <v>Editus</v>
      </c>
      <c r="E50" s="25">
        <f>IFERROR(__xludf.DUMMYFUNCTION("""COMPUTED_VALUE"""),2017.0)</f>
        <v>2017</v>
      </c>
      <c r="F50" s="24" t="str">
        <f>IFERROR(__xludf.DUMMYFUNCTION("""COMPUTED_VALUE"""),"Fibras – Estrutura; Fibras – Tratamento; Química vegetal; Materiais compostos fibrosos; Polímeros")</f>
        <v>Fibras – Estrutura; Fibras – Tratamento; Química vegetal; Materiais compostos fibrosos; Polímeros</v>
      </c>
      <c r="G50" s="28" t="str">
        <f>IFERROR(__xludf.DUMMYFUNCTION("""COMPUTED_VALUE"""),"9788574554365")</f>
        <v>9788574554365</v>
      </c>
      <c r="H50" s="29" t="str">
        <f>IFERROR(__xludf.DUMMYFUNCTION("""COMPUTED_VALUE"""),"http://www.uesc.br/editora/livrosdigitais2018/fibras_vegetais.pdf")</f>
        <v>http://www.uesc.br/editora/livrosdigitais2018/fibras_vegetais.pdf</v>
      </c>
      <c r="I50" s="24" t="str">
        <f>IFERROR(__xludf.DUMMYFUNCTION("""COMPUTED_VALUE"""),"Ciências Biológicas")</f>
        <v>Ciências Biológicas</v>
      </c>
    </row>
    <row r="51">
      <c r="A51" s="24" t="str">
        <f>IFERROR(__xludf.DUMMYFUNCTION("""COMPUTED_VALUE"""),"Flora do Nordeste do Brasil")</f>
        <v>Flora do Nordeste do Brasil</v>
      </c>
      <c r="B51" s="24" t="str">
        <f>IFERROR(__xludf.DUMMYFUNCTION("""COMPUTED_VALUE"""),"D. Bento Pickel")</f>
        <v>D. Bento Pickel</v>
      </c>
      <c r="C51" s="24" t="str">
        <f>IFERROR(__xludf.DUMMYFUNCTION("""COMPUTED_VALUE"""),"Recife")</f>
        <v>Recife</v>
      </c>
      <c r="D51" s="24" t="str">
        <f>IFERROR(__xludf.DUMMYFUNCTION("""COMPUTED_VALUE"""),"Editora Universitária da UFRPE")</f>
        <v>Editora Universitária da UFRPE</v>
      </c>
      <c r="E51" s="25">
        <f>IFERROR(__xludf.DUMMYFUNCTION("""COMPUTED_VALUE"""),2008.0)</f>
        <v>2008</v>
      </c>
      <c r="F51" s="24" t="str">
        <f>IFERROR(__xludf.DUMMYFUNCTION("""COMPUTED_VALUE"""),"Botânica; Taxonomia vegetal; Flora")</f>
        <v>Botânica; Taxonomia vegetal; Flora</v>
      </c>
      <c r="G51" s="26"/>
      <c r="H51" s="29" t="str">
        <f>IFERROR(__xludf.DUMMYFUNCTION("""COMPUTED_VALUE"""),"https://www.dropbox.com/s/9w298gq5ql58kr9/Flora.pdf?dl=0")</f>
        <v>https://www.dropbox.com/s/9w298gq5ql58kr9/Flora.pdf?dl=0</v>
      </c>
      <c r="I51" s="24" t="str">
        <f>IFERROR(__xludf.DUMMYFUNCTION("""COMPUTED_VALUE"""),"Ciências Biológicas")</f>
        <v>Ciências Biológicas</v>
      </c>
    </row>
    <row r="52">
      <c r="A52" s="24" t="str">
        <f>IFERROR(__xludf.DUMMYFUNCTION("""COMPUTED_VALUE"""),"Flores e frutos das restingas do Estado do Pará ")</f>
        <v>Flores e frutos das restingas do Estado do Pará </v>
      </c>
      <c r="B52" s="24" t="str">
        <f>IFERROR(__xludf.DUMMYFUNCTION("""COMPUTED_VALUE"""),"João Ubiratan Moreira dos Santos, Maria de Nazaré do Carmo Bastos organizadores")</f>
        <v>João Ubiratan Moreira dos Santos, Maria de Nazaré do Carmo Bastos organizadores</v>
      </c>
      <c r="C52" s="24" t="str">
        <f>IFERROR(__xludf.DUMMYFUNCTION("""COMPUTED_VALUE"""),"Belém")</f>
        <v>Belém</v>
      </c>
      <c r="D52" s="24" t="str">
        <f>IFERROR(__xludf.DUMMYFUNCTION("""COMPUTED_VALUE"""),"Edufra")</f>
        <v>Edufra</v>
      </c>
      <c r="E52" s="25">
        <f>IFERROR(__xludf.DUMMYFUNCTION("""COMPUTED_VALUE"""),2014.0)</f>
        <v>2014</v>
      </c>
      <c r="F52" s="24" t="str">
        <f>IFERROR(__xludf.DUMMYFUNCTION("""COMPUTED_VALUE"""),"Flores e frutos da restinga; Pará - Brasil")</f>
        <v>Flores e frutos da restinga; Pará - Brasil</v>
      </c>
      <c r="G52" s="28" t="str">
        <f>IFERROR(__xludf.DUMMYFUNCTION("""COMPUTED_VALUE"""),"9788572950930")</f>
        <v>9788572950930</v>
      </c>
      <c r="H52" s="29" t="str">
        <f>IFERROR(__xludf.DUMMYFUNCTION("""COMPUTED_VALUE"""),"https://www.yumpu.com/pt/embed/view/tpFwvV8GoO593IR2")</f>
        <v>https://www.yumpu.com/pt/embed/view/tpFwvV8GoO593IR2</v>
      </c>
      <c r="I52" s="24" t="str">
        <f>IFERROR(__xludf.DUMMYFUNCTION("""COMPUTED_VALUE"""),"Ciências Biológicas")</f>
        <v>Ciências Biológicas</v>
      </c>
    </row>
    <row r="53">
      <c r="A53" s="24" t="str">
        <f>IFERROR(__xludf.DUMMYFUNCTION("""COMPUTED_VALUE"""),"Fundamentos da Microscopia")</f>
        <v>Fundamentos da Microscopia</v>
      </c>
      <c r="B53" s="24" t="str">
        <f>IFERROR(__xludf.DUMMYFUNCTION("""COMPUTED_VALUE"""),"Luiz Henrique Monteiro Leal")</f>
        <v>Luiz Henrique Monteiro Leal</v>
      </c>
      <c r="C53" s="24" t="str">
        <f>IFERROR(__xludf.DUMMYFUNCTION("""COMPUTED_VALUE"""),"Rio de Janeiro")</f>
        <v>Rio de Janeiro</v>
      </c>
      <c r="D53" s="24" t="str">
        <f>IFERROR(__xludf.DUMMYFUNCTION("""COMPUTED_VALUE"""),"EdUERJ")</f>
        <v>EdUERJ</v>
      </c>
      <c r="E53" s="25">
        <f>IFERROR(__xludf.DUMMYFUNCTION("""COMPUTED_VALUE"""),2000.0)</f>
        <v>2000</v>
      </c>
      <c r="F53" s="24" t="str">
        <f>IFERROR(__xludf.DUMMYFUNCTION("""COMPUTED_VALUE"""),"Microscópio; Microscopia; Microscopia ótica;. Microscopia eletrônica")</f>
        <v>Microscópio; Microscopia; Microscopia ótica;. Microscopia eletrônica</v>
      </c>
      <c r="G53" s="28" t="str">
        <f>IFERROR(__xludf.DUMMYFUNCTION("""COMPUTED_VALUE"""),"8585881941")</f>
        <v>8585881941</v>
      </c>
      <c r="H53" s="29" t="str">
        <f>IFERROR(__xludf.DUMMYFUNCTION("""COMPUTED_VALUE"""),"https://www.eduerj.com/eng/?product=fundamentos-da-microscopia")</f>
        <v>https://www.eduerj.com/eng/?product=fundamentos-da-microscopia</v>
      </c>
      <c r="I53" s="24" t="str">
        <f>IFERROR(__xludf.DUMMYFUNCTION("""COMPUTED_VALUE"""),"Ciências Biológicas")</f>
        <v>Ciências Biológicas</v>
      </c>
    </row>
    <row r="54">
      <c r="A54" s="24" t="str">
        <f>IFERROR(__xludf.DUMMYFUNCTION("""COMPUTED_VALUE"""),"Genética Geral para Universitários")</f>
        <v>Genética Geral para Universitários</v>
      </c>
      <c r="B54" s="24" t="str">
        <f>IFERROR(__xludf.DUMMYFUNCTION("""COMPUTED_VALUE"""),"Paulo Roberto Eleutério de Souza, Hildson Dornelas Angelo da Silva, Fernanda Cristina Bezerra Leite, Maria de Mascena Diniz Maia, Ana Cristina Lauer Garcia e Martín Alejandro Montes")</f>
        <v>Paulo Roberto Eleutério de Souza, Hildson Dornelas Angelo da Silva, Fernanda Cristina Bezerra Leite, Maria de Mascena Diniz Maia, Ana Cristina Lauer Garcia e Martín Alejandro Montes</v>
      </c>
      <c r="C54" s="24" t="str">
        <f>IFERROR(__xludf.DUMMYFUNCTION("""COMPUTED_VALUE"""),"Recife")</f>
        <v>Recife</v>
      </c>
      <c r="D54" s="24" t="str">
        <f>IFERROR(__xludf.DUMMYFUNCTION("""COMPUTED_VALUE"""),"Editora Universitária da UFRPE")</f>
        <v>Editora Universitária da UFRPE</v>
      </c>
      <c r="E54" s="25">
        <f>IFERROR(__xludf.DUMMYFUNCTION("""COMPUTED_VALUE"""),2015.0)</f>
        <v>2015</v>
      </c>
      <c r="F54" s="24" t="str">
        <f>IFERROR(__xludf.DUMMYFUNCTION("""COMPUTED_VALUE"""),"Genética; Genética geral; Universitários")</f>
        <v>Genética; Genética geral; Universitários</v>
      </c>
      <c r="G54" s="28" t="str">
        <f>IFERROR(__xludf.DUMMYFUNCTION("""COMPUTED_VALUE"""),"9788579462290")</f>
        <v>9788579462290</v>
      </c>
      <c r="H54" s="29" t="str">
        <f>IFERROR(__xludf.DUMMYFUNCTION("""COMPUTED_VALUE"""),"https://www.dropbox.com/s/ixjwhqgox1kk0ee/Genetica_Geral_web.pdf?dl=0")</f>
        <v>https://www.dropbox.com/s/ixjwhqgox1kk0ee/Genetica_Geral_web.pdf?dl=0</v>
      </c>
      <c r="I54" s="24" t="str">
        <f>IFERROR(__xludf.DUMMYFUNCTION("""COMPUTED_VALUE"""),"Ciências Biológicas")</f>
        <v>Ciências Biológicas</v>
      </c>
    </row>
    <row r="55">
      <c r="A55" s="24" t="str">
        <f>IFERROR(__xludf.DUMMYFUNCTION("""COMPUTED_VALUE"""),"Gestão ambiental em Mato Grosso do Sul: conceitos e práticas ")</f>
        <v>Gestão ambiental em Mato Grosso do Sul: conceitos e práticas </v>
      </c>
      <c r="B55" s="24" t="str">
        <f>IFERROR(__xludf.DUMMYFUNCTION("""COMPUTED_VALUE"""),"Eliane Crisóstomo Dias Ribeiro; de Barros e Eliane Maria Garcia (org.)")</f>
        <v>Eliane Crisóstomo Dias Ribeiro; de Barros e Eliane Maria Garcia (org.)</v>
      </c>
      <c r="C55" s="24" t="str">
        <f>IFERROR(__xludf.DUMMYFUNCTION("""COMPUTED_VALUE"""),"Dourados, MS")</f>
        <v>Dourados, MS</v>
      </c>
      <c r="D55" s="24" t="str">
        <f>IFERROR(__xludf.DUMMYFUNCTION("""COMPUTED_VALUE"""),"Editora UEMS")</f>
        <v>Editora UEMS</v>
      </c>
      <c r="E55" s="25">
        <f>IFERROR(__xludf.DUMMYFUNCTION("""COMPUTED_VALUE"""),2014.0)</f>
        <v>2014</v>
      </c>
      <c r="F55" s="24" t="str">
        <f>IFERROR(__xludf.DUMMYFUNCTION("""COMPUTED_VALUE"""),"Gestão ambiental;Legislação ambiental;Meio ambiente")</f>
        <v>Gestão ambiental;Legislação ambiental;Meio ambiente</v>
      </c>
      <c r="G55" s="28" t="str">
        <f>IFERROR(__xludf.DUMMYFUNCTION("""COMPUTED_VALUE"""),"9788599880708")</f>
        <v>9788599880708</v>
      </c>
      <c r="H55" s="29" t="str">
        <f>IFERROR(__xludf.DUMMYFUNCTION("""COMPUTED_VALUE"""),"http://www.servicos.ms.gov.br/imasuldownloads/Caderno_da_Gestao_Ambiental.pdf")</f>
        <v>http://www.servicos.ms.gov.br/imasuldownloads/Caderno_da_Gestao_Ambiental.pdf</v>
      </c>
      <c r="I55" s="24" t="str">
        <f>IFERROR(__xludf.DUMMYFUNCTION("""COMPUTED_VALUE"""),"Ciências Biológicas")</f>
        <v>Ciências Biológicas</v>
      </c>
    </row>
    <row r="56">
      <c r="A56" s="24" t="str">
        <f>IFERROR(__xludf.DUMMYFUNCTION("""COMPUTED_VALUE"""),"Guia Botânico Ilustrado para Educação Ambiental do Parque Bosque dos Papagaios")</f>
        <v>Guia Botânico Ilustrado para Educação Ambiental do Parque Bosque dos Papagaios</v>
      </c>
      <c r="B56" s="24" t="str">
        <f>IFERROR(__xludf.DUMMYFUNCTION("""COMPUTED_VALUE"""),"Willian Alves Cavalcante; Rodrigo Schütz Rodrigues")</f>
        <v>Willian Alves Cavalcante; Rodrigo Schütz Rodrigues</v>
      </c>
      <c r="C56" s="24" t="str">
        <f>IFERROR(__xludf.DUMMYFUNCTION("""COMPUTED_VALUE"""),"Boa Vista ")</f>
        <v>Boa Vista </v>
      </c>
      <c r="D56" s="24" t="str">
        <f>IFERROR(__xludf.DUMMYFUNCTION("""COMPUTED_VALUE"""),"UFRR")</f>
        <v>UFRR</v>
      </c>
      <c r="E56" s="25">
        <f>IFERROR(__xludf.DUMMYFUNCTION("""COMPUTED_VALUE"""),2020.0)</f>
        <v>2020</v>
      </c>
      <c r="F56" s="24" t="str">
        <f>IFERROR(__xludf.DUMMYFUNCTION("""COMPUTED_VALUE"""),"Educação ambiental; Botânica; Parque Bosque dos Papagaios;Roraima; Ecologia")</f>
        <v>Educação ambiental; Botânica; Parque Bosque dos Papagaios;Roraima; Ecologia</v>
      </c>
      <c r="G56" s="28" t="str">
        <f>IFERROR(__xludf.DUMMYFUNCTION("""COMPUTED_VALUE"""),"9788582882412")</f>
        <v>9788582882412</v>
      </c>
      <c r="H56" s="29" t="str">
        <f>IFERROR(__xludf.DUMMYFUNCTION("""COMPUTED_VALUE"""),"http://ufrr.br/editora/index.php/editais?download=433")</f>
        <v>http://ufrr.br/editora/index.php/editais?download=433</v>
      </c>
      <c r="I56" s="24" t="str">
        <f>IFERROR(__xludf.DUMMYFUNCTION("""COMPUTED_VALUE"""),"Ciências Biológicas")</f>
        <v>Ciências Biológicas</v>
      </c>
    </row>
    <row r="57">
      <c r="A57" s="24" t="str">
        <f>IFERROR(__xludf.DUMMYFUNCTION("""COMPUTED_VALUE"""),"Guia das aves do campus da Universidade Federal Rural de Pernambuco (UFRPE)")</f>
        <v>Guia das aves do campus da Universidade Federal Rural de Pernambuco (UFRPE)</v>
      </c>
      <c r="B57" s="24" t="str">
        <f>IFERROR(__xludf.DUMMYFUNCTION("""COMPUTED_VALUE"""),"Glauco Alves Pereira, Paulo de Barros Passos Filho, Fernanda Gabriela Santos de Oliveira, Edson Silva Barbosa Leal, Sawana Caroline de Aquino Borges, Rachel Maria de Lyra Neves, Wallace Rodrigues Telino Junior, Severino Mendes de Azevedo Junior")</f>
        <v>Glauco Alves Pereira, Paulo de Barros Passos Filho, Fernanda Gabriela Santos de Oliveira, Edson Silva Barbosa Leal, Sawana Caroline de Aquino Borges, Rachel Maria de Lyra Neves, Wallace Rodrigues Telino Junior, Severino Mendes de Azevedo Junior</v>
      </c>
      <c r="C57" s="24" t="str">
        <f>IFERROR(__xludf.DUMMYFUNCTION("""COMPUTED_VALUE"""),"Recife")</f>
        <v>Recife</v>
      </c>
      <c r="D57" s="24" t="str">
        <f>IFERROR(__xludf.DUMMYFUNCTION("""COMPUTED_VALUE"""),"Editora Universitária da UFRPE")</f>
        <v>Editora Universitária da UFRPE</v>
      </c>
      <c r="E57" s="25">
        <f>IFERROR(__xludf.DUMMYFUNCTION("""COMPUTED_VALUE"""),2020.0)</f>
        <v>2020</v>
      </c>
      <c r="F57" s="24" t="str">
        <f>IFERROR(__xludf.DUMMYFUNCTION("""COMPUTED_VALUE"""),"Aves; Biologia; Animais; Ecologia; Ecossistema ")</f>
        <v>Aves; Biologia; Animais; Ecologia; Ecossistema </v>
      </c>
      <c r="G57" s="28" t="str">
        <f>IFERROR(__xludf.DUMMYFUNCTION("""COMPUTED_VALUE"""),"9786586547016")</f>
        <v>9786586547016</v>
      </c>
      <c r="H57" s="29" t="str">
        <f>IFERROR(__xludf.DUMMYFUNCTION("""COMPUTED_VALUE"""),"https://drive.google.com/file/d/1l7G_NvbeM6DyZglbHdXQGmNdL_eO94GC/view?usp=sharing")</f>
        <v>https://drive.google.com/file/d/1l7G_NvbeM6DyZglbHdXQGmNdL_eO94GC/view?usp=sharing</v>
      </c>
      <c r="I57" s="24" t="str">
        <f>IFERROR(__xludf.DUMMYFUNCTION("""COMPUTED_VALUE"""),"Ciências Biológicas")</f>
        <v>Ciências Biológicas</v>
      </c>
    </row>
    <row r="58">
      <c r="A58" s="24" t="str">
        <f>IFERROR(__xludf.DUMMYFUNCTION("""COMPUTED_VALUE"""),"Guia de Anfíbios do Parque Estadual de Dois Irmãos")</f>
        <v>Guia de Anfíbios do Parque Estadual de Dois Irmãos</v>
      </c>
      <c r="B58" s="24" t="str">
        <f>IFERROR(__xludf.DUMMYFUNCTION("""COMPUTED_VALUE"""),"Edivania do Nascimento Pereira, Ednilza Maranhao dos Santos e Marina Falcão Rodrigues")</f>
        <v>Edivania do Nascimento Pereira, Ednilza Maranhao dos Santos e Marina Falcão Rodrigues</v>
      </c>
      <c r="C58" s="24" t="str">
        <f>IFERROR(__xludf.DUMMYFUNCTION("""COMPUTED_VALUE"""),"Recife")</f>
        <v>Recife</v>
      </c>
      <c r="D58" s="24" t="str">
        <f>IFERROR(__xludf.DUMMYFUNCTION("""COMPUTED_VALUE"""),"Editora Universitária da UFRPE")</f>
        <v>Editora Universitária da UFRPE</v>
      </c>
      <c r="E58" s="25">
        <f>IFERROR(__xludf.DUMMYFUNCTION("""COMPUTED_VALUE"""),2016.0)</f>
        <v>2016</v>
      </c>
      <c r="F58" s="24" t="str">
        <f>IFERROR(__xludf.DUMMYFUNCTION("""COMPUTED_VALUE"""),"Anfíbios; Parque Dois Irmãos; Identificação")</f>
        <v>Anfíbios; Parque Dois Irmãos; Identificação</v>
      </c>
      <c r="G58" s="28" t="str">
        <f>IFERROR(__xludf.DUMMYFUNCTION("""COMPUTED_VALUE"""),"9788579462658")</f>
        <v>9788579462658</v>
      </c>
      <c r="H58" s="34" t="str">
        <f>IFERROR(__xludf.DUMMYFUNCTION("""COMPUTED_VALUE"""),"https://www.dropbox.com/s/hlk830gpjm4s526/GUIA_Anuros_final.pdf?dl=0")</f>
        <v>https://www.dropbox.com/s/hlk830gpjm4s526/GUIA_Anuros_final.pdf?dl=0</v>
      </c>
      <c r="I58" s="24" t="str">
        <f>IFERROR(__xludf.DUMMYFUNCTION("""COMPUTED_VALUE"""),"Ciências Biológicas")</f>
        <v>Ciências Biológicas</v>
      </c>
    </row>
    <row r="59">
      <c r="A59" s="24" t="str">
        <f>IFERROR(__xludf.DUMMYFUNCTION("""COMPUTED_VALUE"""),"Guia de Répteis do Parque Estadual de Dois Irmãos")</f>
        <v>Guia de Répteis do Parque Estadual de Dois Irmãos</v>
      </c>
      <c r="B59" s="24" t="str">
        <f>IFERROR(__xludf.DUMMYFUNCTION("""COMPUTED_VALUE"""),"Ednilza Maranhão dos Santos, Jozélia Maria de Sousa Correia, Vanessa do Nascimento Barbosa (org.)")</f>
        <v>Ednilza Maranhão dos Santos, Jozélia Maria de Sousa Correia, Vanessa do Nascimento Barbosa (org.)</v>
      </c>
      <c r="C59" s="24" t="str">
        <f>IFERROR(__xludf.DUMMYFUNCTION("""COMPUTED_VALUE"""),"Recife")</f>
        <v>Recife</v>
      </c>
      <c r="D59" s="24" t="str">
        <f>IFERROR(__xludf.DUMMYFUNCTION("""COMPUTED_VALUE"""),"Editora Universitária da UFRPE")</f>
        <v>Editora Universitária da UFRPE</v>
      </c>
      <c r="E59" s="25">
        <f>IFERROR(__xludf.DUMMYFUNCTION("""COMPUTED_VALUE"""),2017.0)</f>
        <v>2017</v>
      </c>
      <c r="F59" s="24" t="str">
        <f>IFERROR(__xludf.DUMMYFUNCTION("""COMPUTED_VALUE"""),"Herpetofauna; Mata atlântica; Biodiversidade")</f>
        <v>Herpetofauna; Mata atlântica; Biodiversidade</v>
      </c>
      <c r="G59" s="28" t="str">
        <f>IFERROR(__xludf.DUMMYFUNCTION("""COMPUTED_VALUE"""),"9788579463037")</f>
        <v>9788579463037</v>
      </c>
      <c r="H59" s="34" t="str">
        <f>IFERROR(__xludf.DUMMYFUNCTION("""COMPUTED_VALUE"""),"https://www.dropbox.com/s/354jf0bt80lvkal/Guia_repteis_final.pdf?dl=0")</f>
        <v>https://www.dropbox.com/s/354jf0bt80lvkal/Guia_repteis_final.pdf?dl=0</v>
      </c>
      <c r="I59" s="24" t="str">
        <f>IFERROR(__xludf.DUMMYFUNCTION("""COMPUTED_VALUE"""),"Ciências Biológicas")</f>
        <v>Ciências Biológicas</v>
      </c>
    </row>
    <row r="60">
      <c r="A60" s="24" t="str">
        <f>IFERROR(__xludf.DUMMYFUNCTION("""COMPUTED_VALUE"""),"Histologia humana: aulas práticas")</f>
        <v>Histologia humana: aulas práticas</v>
      </c>
      <c r="B60" s="24" t="str">
        <f>IFERROR(__xludf.DUMMYFUNCTION("""COMPUTED_VALUE"""),"Arielle Cristina Are- na... (et al.).")</f>
        <v>Arielle Cristina Are- na... (et al.).</v>
      </c>
      <c r="C60" s="24" t="str">
        <f>IFERROR(__xludf.DUMMYFUNCTION("""COMPUTED_VALUE"""),"Dourados, MS")</f>
        <v>Dourados, MS</v>
      </c>
      <c r="D60" s="24" t="str">
        <f>IFERROR(__xludf.DUMMYFUNCTION("""COMPUTED_VALUE"""),"Ed. da UFGD")</f>
        <v>Ed. da UFGD</v>
      </c>
      <c r="E60" s="25">
        <f>IFERROR(__xludf.DUMMYFUNCTION("""COMPUTED_VALUE"""),2011.0)</f>
        <v>2011</v>
      </c>
      <c r="F60" s="24" t="str">
        <f>IFERROR(__xludf.DUMMYFUNCTION("""COMPUTED_VALUE"""),"Histologia humana")</f>
        <v>Histologia humana</v>
      </c>
      <c r="G60" s="28" t="str">
        <f>IFERROR(__xludf.DUMMYFUNCTION("""COMPUTED_VALUE"""),"9788561228682")</f>
        <v>9788561228682</v>
      </c>
      <c r="H60" s="34" t="str">
        <f>IFERROR(__xludf.DUMMYFUNCTION("""COMPUTED_VALUE"""),"http://omp.ufgd.edu.br/omp/index.php/livrosabertos/catalog/view/222/130/410-1")</f>
        <v>http://omp.ufgd.edu.br/omp/index.php/livrosabertos/catalog/view/222/130/410-1</v>
      </c>
      <c r="I60" s="24" t="str">
        <f>IFERROR(__xludf.DUMMYFUNCTION("""COMPUTED_VALUE"""),"Ciências Biológicas")</f>
        <v>Ciências Biológicas</v>
      </c>
    </row>
    <row r="61" ht="52.5" customHeight="1">
      <c r="A61" s="24" t="str">
        <f>IFERROR(__xludf.DUMMYFUNCTION("""COMPUTED_VALUE"""),"Historiæ rervm naturalivm: volume 1")</f>
        <v>Historiæ rervm naturalivm: volume 1</v>
      </c>
      <c r="B61" s="35" t="str">
        <f>IFERROR(__xludf.DUMMYFUNCTION("""COMPUTED_VALUE"""),"Argus Vasconcelos de Almeida")</f>
        <v>Argus Vasconcelos de Almeida</v>
      </c>
      <c r="C61" s="24" t="str">
        <f>IFERROR(__xludf.DUMMYFUNCTION("""COMPUTED_VALUE"""),"Recife")</f>
        <v>Recife</v>
      </c>
      <c r="D61" s="24" t="str">
        <f>IFERROR(__xludf.DUMMYFUNCTION("""COMPUTED_VALUE"""),"Editora Universitária da UFRPE")</f>
        <v>Editora Universitária da UFRPE</v>
      </c>
      <c r="E61" s="25">
        <f>IFERROR(__xludf.DUMMYFUNCTION("""COMPUTED_VALUE"""),2017.0)</f>
        <v>2017</v>
      </c>
      <c r="F61" s="24" t="str">
        <f>IFERROR(__xludf.DUMMYFUNCTION("""COMPUTED_VALUE"""),"História natural; Ensaios; Ciências biológicas")</f>
        <v>História natural; Ensaios; Ciências biológicas</v>
      </c>
      <c r="G61" s="28" t="str">
        <f>IFERROR(__xludf.DUMMYFUNCTION("""COMPUTED_VALUE"""),"9788579462306")</f>
        <v>9788579462306</v>
      </c>
      <c r="H61" s="29" t="str">
        <f>IFERROR(__xludf.DUMMYFUNCTION("""COMPUTED_VALUE"""),"https://www.dropbox.com/s/vzunn5i0vr0708g/HRN_V1.pdf?dl=0")</f>
        <v>https://www.dropbox.com/s/vzunn5i0vr0708g/HRN_V1.pdf?dl=0</v>
      </c>
      <c r="I61" s="24" t="str">
        <f>IFERROR(__xludf.DUMMYFUNCTION("""COMPUTED_VALUE"""),"Ciências Biológicas")</f>
        <v>Ciências Biológicas</v>
      </c>
    </row>
    <row r="62">
      <c r="A62" s="24" t="str">
        <f>IFERROR(__xludf.DUMMYFUNCTION("""COMPUTED_VALUE"""),"Historiæ rervm naturalivm: volume 2")</f>
        <v>Historiæ rervm naturalivm: volume 2</v>
      </c>
      <c r="B62" s="24" t="str">
        <f>IFERROR(__xludf.DUMMYFUNCTION("""COMPUTED_VALUE"""),"Argus Vasconcelos de Almeida")</f>
        <v>Argus Vasconcelos de Almeida</v>
      </c>
      <c r="C62" s="24" t="str">
        <f>IFERROR(__xludf.DUMMYFUNCTION("""COMPUTED_VALUE"""),"Recife")</f>
        <v>Recife</v>
      </c>
      <c r="D62" s="24" t="str">
        <f>IFERROR(__xludf.DUMMYFUNCTION("""COMPUTED_VALUE"""),"Editora Universitária da UFRPE")</f>
        <v>Editora Universitária da UFRPE</v>
      </c>
      <c r="E62" s="25">
        <f>IFERROR(__xludf.DUMMYFUNCTION("""COMPUTED_VALUE"""),2017.0)</f>
        <v>2017</v>
      </c>
      <c r="F62" s="24" t="str">
        <f>IFERROR(__xludf.DUMMYFUNCTION("""COMPUTED_VALUE"""),"História natural; Ensaios; Ciências biológicas")</f>
        <v>História natural; Ensaios; Ciências biológicas</v>
      </c>
      <c r="G62" s="28" t="str">
        <f>IFERROR(__xludf.DUMMYFUNCTION("""COMPUTED_VALUE"""),"9788579462306")</f>
        <v>9788579462306</v>
      </c>
      <c r="H62" s="34" t="str">
        <f>IFERROR(__xludf.DUMMYFUNCTION("""COMPUTED_VALUE"""),"https://www.dropbox.com/s/69bwfglmzi8i48y/HRN_V2.pdf?dl=0")</f>
        <v>https://www.dropbox.com/s/69bwfglmzi8i48y/HRN_V2.pdf?dl=0</v>
      </c>
      <c r="I62" s="24" t="str">
        <f>IFERROR(__xludf.DUMMYFUNCTION("""COMPUTED_VALUE"""),"Ciências Biológicas")</f>
        <v>Ciências Biológicas</v>
      </c>
    </row>
    <row r="63">
      <c r="A63" s="24" t="str">
        <f>IFERROR(__xludf.DUMMYFUNCTION("""COMPUTED_VALUE"""),"Livro de resumos: IV Simpósio de Insetos Aquáticos Neotropicais - SIAN 2017")</f>
        <v>Livro de resumos: IV Simpósio de Insetos Aquáticos Neotropicais - SIAN 2017</v>
      </c>
      <c r="B63" s="24" t="str">
        <f>IFERROR(__xludf.DUMMYFUNCTION("""COMPUTED_VALUE"""),"Pinto, Ângelo Parise, Dumas, Leandro Lourenço; Paresque, Roberta; Salles, Frederico Falcão")</f>
        <v>Pinto, Ângelo Parise, Dumas, Leandro Lourenço; Paresque, Roberta; Salles, Frederico Falcão</v>
      </c>
      <c r="C63" s="24" t="str">
        <f>IFERROR(__xludf.DUMMYFUNCTION("""COMPUTED_VALUE"""),"Curitiba")</f>
        <v>Curitiba</v>
      </c>
      <c r="D63" s="24" t="str">
        <f>IFERROR(__xludf.DUMMYFUNCTION("""COMPUTED_VALUE"""),"Sociedade Brasileira de Zoologia")</f>
        <v>Sociedade Brasileira de Zoologia</v>
      </c>
      <c r="E63" s="25">
        <f>IFERROR(__xludf.DUMMYFUNCTION("""COMPUTED_VALUE"""),2017.0)</f>
        <v>2017</v>
      </c>
      <c r="F63" s="24" t="str">
        <f>IFERROR(__xludf.DUMMYFUNCTION("""COMPUTED_VALUE"""),"Inseto aquático; Resumos")</f>
        <v>Inseto aquático; Resumos</v>
      </c>
      <c r="G63" s="28" t="str">
        <f>IFERROR(__xludf.DUMMYFUNCTION("""COMPUTED_VALUE"""),"9788598203126")</f>
        <v>9788598203126</v>
      </c>
      <c r="H63" s="29" t="str">
        <f>IFERROR(__xludf.DUMMYFUNCTION("""COMPUTED_VALUE"""),"http://hdl.handle.net/1884/48760")</f>
        <v>http://hdl.handle.net/1884/48760</v>
      </c>
      <c r="I63" s="24" t="str">
        <f>IFERROR(__xludf.DUMMYFUNCTION("""COMPUTED_VALUE"""),"Ciências Biológicas")</f>
        <v>Ciências Biológicas</v>
      </c>
    </row>
    <row r="64">
      <c r="A64" s="24" t="str">
        <f>IFERROR(__xludf.DUMMYFUNCTION("""COMPUTED_VALUE"""),"Livro de resumos: V Simpósio de Insetos Aquáticos Neotropicais - SIAN 2019")</f>
        <v>Livro de resumos: V Simpósio de Insetos Aquáticos Neotropicais - SIAN 2019</v>
      </c>
      <c r="B64" s="24" t="str">
        <f>IFERROR(__xludf.DUMMYFUNCTION("""COMPUTED_VALUE"""),"Pinto, Ângelo Parise; Salles, Frederico Falcão; Dumas, Leandro Lourenço, Passos, Maria Inês dos")</f>
        <v>Pinto, Ângelo Parise; Salles, Frederico Falcão; Dumas, Leandro Lourenço, Passos, Maria Inês dos</v>
      </c>
      <c r="C64" s="24" t="str">
        <f>IFERROR(__xludf.DUMMYFUNCTION("""COMPUTED_VALUE"""),"Curitiba")</f>
        <v>Curitiba</v>
      </c>
      <c r="D64" s="24" t="str">
        <f>IFERROR(__xludf.DUMMYFUNCTION("""COMPUTED_VALUE"""),"Sociedade Brasileira de Zoologia")</f>
        <v>Sociedade Brasileira de Zoologia</v>
      </c>
      <c r="E64" s="25">
        <f>IFERROR(__xludf.DUMMYFUNCTION("""COMPUTED_VALUE"""),2019.0)</f>
        <v>2019</v>
      </c>
      <c r="F64" s="24" t="str">
        <f>IFERROR(__xludf.DUMMYFUNCTION("""COMPUTED_VALUE"""),"Inseto aquático; Resumos")</f>
        <v>Inseto aquático; Resumos</v>
      </c>
      <c r="G64" s="28" t="str">
        <f>IFERROR(__xludf.DUMMYFUNCTION("""COMPUTED_VALUE"""),"9788598203140")</f>
        <v>9788598203140</v>
      </c>
      <c r="H64" s="34" t="str">
        <f>IFERROR(__xludf.DUMMYFUNCTION("""COMPUTED_VALUE"""),"https://hdl.handle.net/1884/64922")</f>
        <v>https://hdl.handle.net/1884/64922</v>
      </c>
      <c r="I64" s="24" t="str">
        <f>IFERROR(__xludf.DUMMYFUNCTION("""COMPUTED_VALUE"""),"Ciências Biológicas")</f>
        <v>Ciências Biológicas</v>
      </c>
    </row>
    <row r="65">
      <c r="A65" s="24" t="str">
        <f>IFERROR(__xludf.DUMMYFUNCTION("""COMPUTED_VALUE"""),"Mamíferos do Parque Nacional da Quiçama - Angola: Unindo o Conhecimento Tradicional ao Científico")</f>
        <v>Mamíferos do Parque Nacional da Quiçama - Angola: Unindo o Conhecimento Tradicional ao Científico</v>
      </c>
      <c r="B65" s="24" t="str">
        <f>IFERROR(__xludf.DUMMYFUNCTION("""COMPUTED_VALUE"""),"Franciany Braga Pereira, Helle Mota, Lissa D. Franzini, Carme VanDúnem Santos Romulo Alves.")</f>
        <v>Franciany Braga Pereira, Helle Mota, Lissa D. Franzini, Carme VanDúnem Santos Romulo Alves.</v>
      </c>
      <c r="C65" s="24" t="str">
        <f>IFERROR(__xludf.DUMMYFUNCTION("""COMPUTED_VALUE"""),"João Pessoa")</f>
        <v>João Pessoa</v>
      </c>
      <c r="D65" s="24" t="str">
        <f>IFERROR(__xludf.DUMMYFUNCTION("""COMPUTED_VALUE"""),"Editora da UFPB")</f>
        <v>Editora da UFPB</v>
      </c>
      <c r="E65" s="25">
        <f>IFERROR(__xludf.DUMMYFUNCTION("""COMPUTED_VALUE"""),2018.0)</f>
        <v>2018</v>
      </c>
      <c r="F65" s="24" t="str">
        <f>IFERROR(__xludf.DUMMYFUNCTION("""COMPUTED_VALUE"""),"Zoologia; Mamíferos - Parque da Quiçama")</f>
        <v>Zoologia; Mamíferos - Parque da Quiçama</v>
      </c>
      <c r="G65" s="28" t="str">
        <f>IFERROR(__xludf.DUMMYFUNCTION("""COMPUTED_VALUE"""),"9878523713447")</f>
        <v>9878523713447</v>
      </c>
      <c r="H65" s="29" t="str">
        <f>IFERROR(__xludf.DUMMYFUNCTION("""COMPUTED_VALUE"""),"http://www.editora.ufpb.br/sistema/press5/index.php/UFPB/catalog/book/116")</f>
        <v>http://www.editora.ufpb.br/sistema/press5/index.php/UFPB/catalog/book/116</v>
      </c>
      <c r="I65" s="24" t="str">
        <f>IFERROR(__xludf.DUMMYFUNCTION("""COMPUTED_VALUE"""),"Ciências Biológicas")</f>
        <v>Ciências Biológicas</v>
      </c>
    </row>
    <row r="66">
      <c r="A66" s="24" t="str">
        <f>IFERROR(__xludf.DUMMYFUNCTION("""COMPUTED_VALUE"""),"Manejo Prático de Animais de Experimentação")</f>
        <v>Manejo Prático de Animais de Experimentação</v>
      </c>
      <c r="B66" s="24" t="str">
        <f>IFERROR(__xludf.DUMMYFUNCTION("""COMPUTED_VALUE"""),"Caio Vinicius Botelho Brito")</f>
        <v>Caio Vinicius Botelho Brito</v>
      </c>
      <c r="C66" s="24" t="str">
        <f>IFERROR(__xludf.DUMMYFUNCTION("""COMPUTED_VALUE"""),"Belém")</f>
        <v>Belém</v>
      </c>
      <c r="D66" s="24" t="str">
        <f>IFERROR(__xludf.DUMMYFUNCTION("""COMPUTED_VALUE"""),"UEPA")</f>
        <v>UEPA</v>
      </c>
      <c r="E66" s="25">
        <f>IFERROR(__xludf.DUMMYFUNCTION("""COMPUTED_VALUE"""),2016.0)</f>
        <v>2016</v>
      </c>
      <c r="F66" s="24" t="str">
        <f>IFERROR(__xludf.DUMMYFUNCTION("""COMPUTED_VALUE"""),"Pesquisa e cirurgia experimental; Bioética; Animais de laboratório")</f>
        <v>Pesquisa e cirurgia experimental; Bioética; Animais de laboratório</v>
      </c>
      <c r="G66" s="28" t="str">
        <f>IFERROR(__xludf.DUMMYFUNCTION("""COMPUTED_VALUE"""),"9788584580101")</f>
        <v>9788584580101</v>
      </c>
      <c r="H66" s="34" t="str">
        <f>IFERROR(__xludf.DUMMYFUNCTION("""COMPUTED_VALUE"""),"https://paginas.uepa.br/eduepa/wp-content/uploads/2019/06/Manejo_de_Animais.pdf")</f>
        <v>https://paginas.uepa.br/eduepa/wp-content/uploads/2019/06/Manejo_de_Animais.pdf</v>
      </c>
      <c r="I66" s="24" t="str">
        <f>IFERROR(__xludf.DUMMYFUNCTION("""COMPUTED_VALUE"""),"Ciências Biológicas")</f>
        <v>Ciências Biológicas</v>
      </c>
    </row>
    <row r="67">
      <c r="A67" s="24" t="str">
        <f>IFERROR(__xludf.DUMMYFUNCTION("""COMPUTED_VALUE"""),"Manual prático de morfologia e anatomia vegetal ")</f>
        <v>Manual prático de morfologia e anatomia vegetal </v>
      </c>
      <c r="B67" s="24" t="str">
        <f>IFERROR(__xludf.DUMMYFUNCTION("""COMPUTED_VALUE"""),"Priscila Andressa Cortez, Delmira da Costa Silva, Alba Lucilvânia Fonseca Chaves")</f>
        <v>Priscila Andressa Cortez, Delmira da Costa Silva, Alba Lucilvânia Fonseca Chaves</v>
      </c>
      <c r="C67" s="24" t="str">
        <f>IFERROR(__xludf.DUMMYFUNCTION("""COMPUTED_VALUE"""),"Ilhéus, BA")</f>
        <v>Ilhéus, BA</v>
      </c>
      <c r="D67" s="24" t="str">
        <f>IFERROR(__xludf.DUMMYFUNCTION("""COMPUTED_VALUE"""),"Editus")</f>
        <v>Editus</v>
      </c>
      <c r="E67" s="25">
        <f>IFERROR(__xludf.DUMMYFUNCTION("""COMPUTED_VALUE"""),2016.0)</f>
        <v>2016</v>
      </c>
      <c r="F67" s="24" t="str">
        <f>IFERROR(__xludf.DUMMYFUNCTION("""COMPUTED_VALUE"""),"Botânica - Morfologia; Anatomia Vegetal")</f>
        <v>Botânica - Morfologia; Anatomia Vegetal</v>
      </c>
      <c r="G67" s="28" t="str">
        <f>IFERROR(__xludf.DUMMYFUNCTION("""COMPUTED_VALUE"""),"9788574554235")</f>
        <v>9788574554235</v>
      </c>
      <c r="H67" s="29" t="str">
        <f>IFERROR(__xludf.DUMMYFUNCTION("""COMPUTED_VALUE"""),"http://www.uesc.br/editora/livrosdigitais2017/morfologia_anatomia_vegetal.pdf")</f>
        <v>http://www.uesc.br/editora/livrosdigitais2017/morfologia_anatomia_vegetal.pdf</v>
      </c>
      <c r="I67" s="24" t="str">
        <f>IFERROR(__xludf.DUMMYFUNCTION("""COMPUTED_VALUE"""),"Ciências Biológicas")</f>
        <v>Ciências Biológicas</v>
      </c>
    </row>
    <row r="68">
      <c r="A68" s="24" t="str">
        <f>IFERROR(__xludf.DUMMYFUNCTION("""COMPUTED_VALUE"""),"Marcas do homem na floresta: história ambiental de um trecho urbano de mata atlântica")</f>
        <v>Marcas do homem na floresta: história ambiental de um trecho urbano de mata atlântica</v>
      </c>
      <c r="B68" s="24" t="str">
        <f>IFERROR(__xludf.DUMMYFUNCTION("""COMPUTED_VALUE"""),"Organização; Rogério Ribeiro de Oliveira")</f>
        <v>Organização; Rogério Ribeiro de Oliveira</v>
      </c>
      <c r="C68" s="24" t="str">
        <f>IFERROR(__xludf.DUMMYFUNCTION("""COMPUTED_VALUE"""),"Rio de Janeiro")</f>
        <v>Rio de Janeiro</v>
      </c>
      <c r="D68" s="24" t="str">
        <f>IFERROR(__xludf.DUMMYFUNCTION("""COMPUTED_VALUE"""),"Editora PUC Rio")</f>
        <v>Editora PUC Rio</v>
      </c>
      <c r="E68" s="25">
        <f>IFERROR(__xludf.DUMMYFUNCTION("""COMPUTED_VALUE"""),2010.0)</f>
        <v>2010</v>
      </c>
      <c r="F68" s="24" t="str">
        <f>IFERROR(__xludf.DUMMYFUNCTION("""COMPUTED_VALUE"""),"Homem – Influência sobre a natureza – Rio de Janeiro (RJ). Florestas tropicais – Mata Atlântica - História. Mata Atlântica -Proteção")</f>
        <v>Homem – Influência sobre a natureza – Rio de Janeiro (RJ). Florestas tropicais – Mata Atlântica - História. Mata Atlântica -Proteção</v>
      </c>
      <c r="G68" s="28" t="str">
        <f>IFERROR(__xludf.DUMMYFUNCTION("""COMPUTED_VALUE"""),"8587926101")</f>
        <v>8587926101</v>
      </c>
      <c r="H68" s="29" t="str">
        <f>IFERROR(__xludf.DUMMYFUNCTION("""COMPUTED_VALUE"""),"http://www.editora.puc-rio.br/media/ebook_marcas_homem_na_floresta.pdf")</f>
        <v>http://www.editora.puc-rio.br/media/ebook_marcas_homem_na_floresta.pdf</v>
      </c>
      <c r="I68" s="24" t="str">
        <f>IFERROR(__xludf.DUMMYFUNCTION("""COMPUTED_VALUE"""),"Ciências Biológicas")</f>
        <v>Ciências Biológicas</v>
      </c>
    </row>
    <row r="69">
      <c r="A69" s="24" t="str">
        <f>IFERROR(__xludf.DUMMYFUNCTION("""COMPUTED_VALUE"""),"MEIO AMBIENTE EM FOCO: Ensaios e pesquisas em Gestão Ambiental")</f>
        <v>MEIO AMBIENTE EM FOCO: Ensaios e pesquisas em Gestão Ambiental</v>
      </c>
      <c r="B69" s="24" t="str">
        <f>IFERROR(__xludf.DUMMYFUNCTION("""COMPUTED_VALUE"""),"organização de Arilde Franco Alves")</f>
        <v>organização de Arilde Franco Alves</v>
      </c>
      <c r="C69" s="24" t="str">
        <f>IFERROR(__xludf.DUMMYFUNCTION("""COMPUTED_VALUE"""),"João Pessoa")</f>
        <v>João Pessoa</v>
      </c>
      <c r="D69" s="24" t="str">
        <f>IFERROR(__xludf.DUMMYFUNCTION("""COMPUTED_VALUE"""),"Editora IFPB")</f>
        <v>Editora IFPB</v>
      </c>
      <c r="E69" s="25">
        <f>IFERROR(__xludf.DUMMYFUNCTION("""COMPUTED_VALUE"""),2019.0)</f>
        <v>2019</v>
      </c>
      <c r="F69" s="24" t="str">
        <f>IFERROR(__xludf.DUMMYFUNCTION("""COMPUTED_VALUE"""),"Meio ambiente; Gestão ambiental; Tecnologia em gestão ambiental")</f>
        <v>Meio ambiente; Gestão ambiental; Tecnologia em gestão ambiental</v>
      </c>
      <c r="G69" s="28" t="str">
        <f>IFERROR(__xludf.DUMMYFUNCTION("""COMPUTED_VALUE"""),"9788554490225")</f>
        <v>9788554490225</v>
      </c>
      <c r="H69" s="29" t="str">
        <f>IFERROR(__xludf.DUMMYFUNCTION("""COMPUTED_VALUE"""),"http://editora.ifpb.edu.br/index.php/ifpb/catalog/book/225")</f>
        <v>http://editora.ifpb.edu.br/index.php/ifpb/catalog/book/225</v>
      </c>
      <c r="I69" s="24" t="str">
        <f>IFERROR(__xludf.DUMMYFUNCTION("""COMPUTED_VALUE"""),"Ciências Biológicas")</f>
        <v>Ciências Biológicas</v>
      </c>
    </row>
    <row r="70">
      <c r="A70" s="24" t="str">
        <f>IFERROR(__xludf.DUMMYFUNCTION("""COMPUTED_VALUE"""),"Multidisciplinaridade nas Ciências Ambientais: biotecnologia de alimentos e plantas e impactos ambientais das atividades agropecuárias")</f>
        <v>Multidisciplinaridade nas Ciências Ambientais: biotecnologia de alimentos e plantas e impactos ambientais das atividades agropecuárias</v>
      </c>
      <c r="B70" s="24" t="str">
        <f>IFERROR(__xludf.DUMMYFUNCTION("""COMPUTED_VALUE"""),"Altem Nascimento Pontes (org.)")</f>
        <v>Altem Nascimento Pontes (org.)</v>
      </c>
      <c r="C70" s="24" t="str">
        <f>IFERROR(__xludf.DUMMYFUNCTION("""COMPUTED_VALUE"""),"Belém")</f>
        <v>Belém</v>
      </c>
      <c r="D70" s="24" t="str">
        <f>IFERROR(__xludf.DUMMYFUNCTION("""COMPUTED_VALUE"""),"UEPA")</f>
        <v>UEPA</v>
      </c>
      <c r="E70" s="25">
        <f>IFERROR(__xludf.DUMMYFUNCTION("""COMPUTED_VALUE"""),2017.0)</f>
        <v>2017</v>
      </c>
      <c r="F70" s="24" t="str">
        <f>IFERROR(__xludf.DUMMYFUNCTION("""COMPUTED_VALUE"""),"Ciências ambientais; Tecnologia de alimentos; Impacto ambiental; Agropecuária")</f>
        <v>Ciências ambientais; Tecnologia de alimentos; Impacto ambiental; Agropecuária</v>
      </c>
      <c r="G70" s="28" t="str">
        <f>IFERROR(__xludf.DUMMYFUNCTION("""COMPUTED_VALUE"""),"9788584580170")</f>
        <v>9788584580170</v>
      </c>
      <c r="H70" s="29" t="str">
        <f>IFERROR(__xludf.DUMMYFUNCTION("""COMPUTED_VALUE"""),"https://paginas.uepa.br/eduepa/wp-content/uploads/2019/06/Multidisciplinaridade-CI%C3%8ANCIAS-AMBIENTAIS-2-E-BOOK-eduepa.pdf")</f>
        <v>https://paginas.uepa.br/eduepa/wp-content/uploads/2019/06/Multidisciplinaridade-CI%C3%8ANCIAS-AMBIENTAIS-2-E-BOOK-eduepa.pdf</v>
      </c>
      <c r="I70" s="24" t="str">
        <f>IFERROR(__xludf.DUMMYFUNCTION("""COMPUTED_VALUE"""),"Ciências Biológicas")</f>
        <v>Ciências Biológicas</v>
      </c>
    </row>
    <row r="71">
      <c r="A71" s="24" t="str">
        <f>IFERROR(__xludf.DUMMYFUNCTION("""COMPUTED_VALUE"""),"Onde está o organismo?: derivas e outras histórias na biologia e imunologia")</f>
        <v>Onde está o organismo?: derivas e outras histórias na biologia e imunologia</v>
      </c>
      <c r="B71" s="24" t="str">
        <f>IFERROR(__xludf.DUMMYFUNCTION("""COMPUTED_VALUE"""),"Vaz, Nelson; Mpodozis, Jorge;Botelho, João Francisco;Ramos, Gustavo (org.)")</f>
        <v>Vaz, Nelson; Mpodozis, Jorge;Botelho, João Francisco;Ramos, Gustavo (org.)</v>
      </c>
      <c r="C71" s="24" t="str">
        <f>IFERROR(__xludf.DUMMYFUNCTION("""COMPUTED_VALUE"""),"Florianópolis")</f>
        <v>Florianópolis</v>
      </c>
      <c r="D71" s="24" t="str">
        <f>IFERROR(__xludf.DUMMYFUNCTION("""COMPUTED_VALUE"""),"Editora da UFSC")</f>
        <v>Editora da UFSC</v>
      </c>
      <c r="E71" s="25">
        <f>IFERROR(__xludf.DUMMYFUNCTION("""COMPUTED_VALUE"""),2011.0)</f>
        <v>2011</v>
      </c>
      <c r="F71" s="24" t="str">
        <f>IFERROR(__xludf.DUMMYFUNCTION("""COMPUTED_VALUE"""),"Biologia;Filosofia;Epidemiologia;Evolução")</f>
        <v>Biologia;Filosofia;Epidemiologia;Evolução</v>
      </c>
      <c r="G71" s="28" t="str">
        <f>IFERROR(__xludf.DUMMYFUNCTION("""COMPUTED_VALUE"""),"9788532805416")</f>
        <v>9788532805416</v>
      </c>
      <c r="H71" s="29" t="str">
        <f>IFERROR(__xludf.DUMMYFUNCTION("""COMPUTED_VALUE"""),"https://repositorio.ufsc.br/handle/123456789/188057")</f>
        <v>https://repositorio.ufsc.br/handle/123456789/188057</v>
      </c>
      <c r="I71" s="24" t="str">
        <f>IFERROR(__xludf.DUMMYFUNCTION("""COMPUTED_VALUE"""),"Ciências Biológicas")</f>
        <v>Ciências Biológicas</v>
      </c>
    </row>
    <row r="72">
      <c r="A72" s="24" t="str">
        <f>IFERROR(__xludf.DUMMYFUNCTION("""COMPUTED_VALUE"""),"Política ambiental")</f>
        <v>Política ambiental</v>
      </c>
      <c r="B72" s="24" t="str">
        <f>IFERROR(__xludf.DUMMYFUNCTION("""COMPUTED_VALUE"""),"Universidade Metodista de Piracicaba")</f>
        <v>Universidade Metodista de Piracicaba</v>
      </c>
      <c r="C72" s="24" t="str">
        <f>IFERROR(__xludf.DUMMYFUNCTION("""COMPUTED_VALUE"""),"Piracicaba, SP")</f>
        <v>Piracicaba, SP</v>
      </c>
      <c r="D72" s="24" t="str">
        <f>IFERROR(__xludf.DUMMYFUNCTION("""COMPUTED_VALUE"""),"UNIMEP")</f>
        <v>UNIMEP</v>
      </c>
      <c r="E72" s="25">
        <f>IFERROR(__xludf.DUMMYFUNCTION("""COMPUTED_VALUE"""),2015.0)</f>
        <v>2015</v>
      </c>
      <c r="F72" s="24" t="str">
        <f>IFERROR(__xludf.DUMMYFUNCTION("""COMPUTED_VALUE"""),"Política ambiental. Política")</f>
        <v>Política ambiental. Política</v>
      </c>
      <c r="G72" s="26"/>
      <c r="H72" s="29" t="str">
        <f>IFERROR(__xludf.DUMMYFUNCTION("""COMPUTED_VALUE"""),"http://editora.metodista.br/livros-gratis/politicaambiental.pdf/at_download/file")</f>
        <v>http://editora.metodista.br/livros-gratis/politicaambiental.pdf/at_download/file</v>
      </c>
      <c r="I72" s="24" t="str">
        <f>IFERROR(__xludf.DUMMYFUNCTION("""COMPUTED_VALUE"""),"Ciências Biológicas")</f>
        <v>Ciências Biológicas</v>
      </c>
    </row>
    <row r="73">
      <c r="A73" s="24" t="str">
        <f>IFERROR(__xludf.DUMMYFUNCTION("""COMPUTED_VALUE"""),"Políticas ambientais: o ambiente é você... e você... somos nós")</f>
        <v>Políticas ambientais: o ambiente é você... e você... somos nós</v>
      </c>
      <c r="B73" s="24" t="str">
        <f>IFERROR(__xludf.DUMMYFUNCTION("""COMPUTED_VALUE"""),"Selene Herculano")</f>
        <v>Selene Herculano</v>
      </c>
      <c r="C73" s="24" t="str">
        <f>IFERROR(__xludf.DUMMYFUNCTION("""COMPUTED_VALUE"""),"Niterói, RJ")</f>
        <v>Niterói, RJ</v>
      </c>
      <c r="D73" s="24" t="str">
        <f>IFERROR(__xludf.DUMMYFUNCTION("""COMPUTED_VALUE"""),"Editora da UFF")</f>
        <v>Editora da UFF</v>
      </c>
      <c r="E73" s="25">
        <f>IFERROR(__xludf.DUMMYFUNCTION("""COMPUTED_VALUE"""),2013.0)</f>
        <v>2013</v>
      </c>
      <c r="F73" s="24" t="str">
        <f>IFERROR(__xludf.DUMMYFUNCTION("""COMPUTED_VALUE"""),"Política Ambiental; Desenvolvimento Sustentável")</f>
        <v>Política Ambiental; Desenvolvimento Sustentável</v>
      </c>
      <c r="G73" s="28" t="str">
        <f>IFERROR(__xludf.DUMMYFUNCTION("""COMPUTED_VALUE"""),"9788522809875")</f>
        <v>9788522809875</v>
      </c>
      <c r="H73" s="29" t="str">
        <f>IFERROR(__xludf.DUMMYFUNCTION("""COMPUTED_VALUE"""),"https://bit.ly/Politicas-ambientais-o-ambiente-e-voce")</f>
        <v>https://bit.ly/Politicas-ambientais-o-ambiente-e-voce</v>
      </c>
      <c r="I73" s="24" t="str">
        <f>IFERROR(__xludf.DUMMYFUNCTION("""COMPUTED_VALUE"""),"Ciências Biológicas")</f>
        <v>Ciências Biológicas</v>
      </c>
    </row>
    <row r="74">
      <c r="A74" s="24" t="str">
        <f>IFERROR(__xludf.DUMMYFUNCTION("""COMPUTED_VALUE"""),"Práticas ambientais no Brasil: definições e trajetórias")</f>
        <v>Práticas ambientais no Brasil: definições e trajetórias</v>
      </c>
      <c r="B74" s="24" t="str">
        <f>IFERROR(__xludf.DUMMYFUNCTION("""COMPUTED_VALUE"""),"Alexandre, Agripa Faria")</f>
        <v>Alexandre, Agripa Faria</v>
      </c>
      <c r="C74" s="24" t="str">
        <f>IFERROR(__xludf.DUMMYFUNCTION("""COMPUTED_VALUE"""),"Florianópolis")</f>
        <v>Florianópolis</v>
      </c>
      <c r="D74" s="24" t="str">
        <f>IFERROR(__xludf.DUMMYFUNCTION("""COMPUTED_VALUE"""),"Editora da UFSC")</f>
        <v>Editora da UFSC</v>
      </c>
      <c r="E74" s="25">
        <f>IFERROR(__xludf.DUMMYFUNCTION("""COMPUTED_VALUE"""),2012.0)</f>
        <v>2012</v>
      </c>
      <c r="F74" s="24" t="str">
        <f>IFERROR(__xludf.DUMMYFUNCTION("""COMPUTED_VALUE"""),"Ecologia;Desenvolvimento sustentável;Aspectos antropológicos;Estudos interculturais;Política ambiental")</f>
        <v>Ecologia;Desenvolvimento sustentável;Aspectos antropológicos;Estudos interculturais;Política ambiental</v>
      </c>
      <c r="G74" s="28" t="str">
        <f>IFERROR(__xludf.DUMMYFUNCTION("""COMPUTED_VALUE"""),"9788532805904")</f>
        <v>9788532805904</v>
      </c>
      <c r="H74" s="29" t="str">
        <f>IFERROR(__xludf.DUMMYFUNCTION("""COMPUTED_VALUE"""),"https://repositorio.ufsc.br/handle/123456789/187925")</f>
        <v>https://repositorio.ufsc.br/handle/123456789/187925</v>
      </c>
      <c r="I74" s="24" t="str">
        <f>IFERROR(__xludf.DUMMYFUNCTION("""COMPUTED_VALUE"""),"Ciências Biológicas")</f>
        <v>Ciências Biológicas</v>
      </c>
    </row>
    <row r="75">
      <c r="A75" s="24" t="str">
        <f>IFERROR(__xludf.DUMMYFUNCTION("""COMPUTED_VALUE"""),"Práticas de biologia celular ")</f>
        <v>Práticas de biologia celular </v>
      </c>
      <c r="B75" s="24" t="str">
        <f>IFERROR(__xludf.DUMMYFUNCTION("""COMPUTED_VALUE"""),"Marcos Gino Fernandes ... (et al.) ")</f>
        <v>Marcos Gino Fernandes ... (et al.) </v>
      </c>
      <c r="C75" s="24" t="str">
        <f>IFERROR(__xludf.DUMMYFUNCTION("""COMPUTED_VALUE"""),"Dourados, MS")</f>
        <v>Dourados, MS</v>
      </c>
      <c r="D75" s="24" t="str">
        <f>IFERROR(__xludf.DUMMYFUNCTION("""COMPUTED_VALUE"""),"Ed. da UFGD")</f>
        <v>Ed. da UFGD</v>
      </c>
      <c r="E75" s="25">
        <f>IFERROR(__xludf.DUMMYFUNCTION("""COMPUTED_VALUE"""),2017.0)</f>
        <v>2017</v>
      </c>
      <c r="F75" s="24" t="str">
        <f>IFERROR(__xludf.DUMMYFUNCTION("""COMPUTED_VALUE"""),"Biologia celular; Microscopia óptica; Aulas práticas")</f>
        <v>Biologia celular; Microscopia óptica; Aulas práticas</v>
      </c>
      <c r="G75" s="28" t="str">
        <f>IFERROR(__xludf.DUMMYFUNCTION("""COMPUTED_VALUE"""),"9788581471112")</f>
        <v>9788581471112</v>
      </c>
      <c r="H75" s="29" t="str">
        <f>IFERROR(__xludf.DUMMYFUNCTION("""COMPUTED_VALUE"""),"http://omp.ufgd.edu.br/omp/index.php/livrosabertos/catalog/view/228/112/389-1")</f>
        <v>http://omp.ufgd.edu.br/omp/index.php/livrosabertos/catalog/view/228/112/389-1</v>
      </c>
      <c r="I75" s="24" t="str">
        <f>IFERROR(__xludf.DUMMYFUNCTION("""COMPUTED_VALUE"""),"Ciências Biológicas")</f>
        <v>Ciências Biológicas</v>
      </c>
    </row>
    <row r="76">
      <c r="A76" s="24" t="str">
        <f>IFERROR(__xludf.DUMMYFUNCTION("""COMPUTED_VALUE"""),"Resíduos Sólidos: desenvolvimento e sustentabilidade")</f>
        <v>Resíduos Sólidos: desenvolvimento e sustentabilidade</v>
      </c>
      <c r="B76" s="24" t="str">
        <f>IFERROR(__xludf.DUMMYFUNCTION("""COMPUTED_VALUE"""),"Rhaldney Felipe de Santana, Wilson Ramos Aragão Júnior, Soraya Giovanetti El-Deir (org.)")</f>
        <v>Rhaldney Felipe de Santana, Wilson Ramos Aragão Júnior, Soraya Giovanetti El-Deir (org.)</v>
      </c>
      <c r="C76" s="24" t="str">
        <f>IFERROR(__xludf.DUMMYFUNCTION("""COMPUTED_VALUE"""),"Recife")</f>
        <v>Recife</v>
      </c>
      <c r="D76" s="24" t="str">
        <f>IFERROR(__xludf.DUMMYFUNCTION("""COMPUTED_VALUE"""),"Editora Universitária da UFRPE")</f>
        <v>Editora Universitária da UFRPE</v>
      </c>
      <c r="E76" s="25">
        <f>IFERROR(__xludf.DUMMYFUNCTION("""COMPUTED_VALUE"""),2020.0)</f>
        <v>2020</v>
      </c>
      <c r="F76" s="24" t="str">
        <f>IFERROR(__xludf.DUMMYFUNCTION("""COMPUTED_VALUE"""),"Lixo; Sustentabilidade; Educação ambiental; Gestão integrada de resíduos sólidos")</f>
        <v>Lixo; Sustentabilidade; Educação ambiental; Gestão integrada de resíduos sólidos</v>
      </c>
      <c r="G76" s="28" t="str">
        <f>IFERROR(__xludf.DUMMYFUNCTION("""COMPUTED_VALUE"""),"9788579463587")</f>
        <v>9788579463587</v>
      </c>
      <c r="H76" s="29" t="str">
        <f>IFERROR(__xludf.DUMMYFUNCTION("""COMPUTED_VALUE"""),"https://drive.google.com/file/d/1Oe3zQ_vHuTViSFhQyyB9R8n70p0njmgS/view")</f>
        <v>https://drive.google.com/file/d/1Oe3zQ_vHuTViSFhQyyB9R8n70p0njmgS/view</v>
      </c>
      <c r="I76" s="24" t="str">
        <f>IFERROR(__xludf.DUMMYFUNCTION("""COMPUTED_VALUE"""),"Ciências Biológicas")</f>
        <v>Ciências Biológicas</v>
      </c>
    </row>
    <row r="77">
      <c r="A77" s="24" t="str">
        <f>IFERROR(__xludf.DUMMYFUNCTION("""COMPUTED_VALUE"""),"Resistência genética de plantas a patógenos")</f>
        <v>Resistência genética de plantas a patógenos</v>
      </c>
      <c r="B77" s="24" t="str">
        <f>IFERROR(__xludf.DUMMYFUNCTION("""COMPUTED_VALUE"""),"Monteiro, Ana Leticia; Danelli, Anderson; Pereira, Arione; Castro, Caroline; Debona, Daniel; Dianese, Érico; Rodrigues, Fabrício; Ferraz, Hélvio; Filho, Jerônimo; Maciel, João; Rios, Jonas; Badel, Jorge Luis; Thurow, Liane; Guimarães, Lúcio Mauro; Eiras, "&amp;"Marcelo; Ceresini, Paulo Cesar; Möller, Priscilla; Pereira-Carvalho, Rita de Cássia Dallagnol, Leandro José")</f>
        <v>Monteiro, Ana Leticia; Danelli, Anderson; Pereira, Arione; Castro, Caroline; Debona, Daniel; Dianese, Érico; Rodrigues, Fabrício; Ferraz, Hélvio; Filho, Jerônimo; Maciel, João; Rios, Jonas; Badel, Jorge Luis; Thurow, Liane; Guimarães, Lúcio Mauro; Eiras, Marcelo; Ceresini, Paulo Cesar; Möller, Priscilla; Pereira-Carvalho, Rita de Cássia Dallagnol, Leandro José</v>
      </c>
      <c r="C77" s="24" t="str">
        <f>IFERROR(__xludf.DUMMYFUNCTION("""COMPUTED_VALUE"""),"Pelotas")</f>
        <v>Pelotas</v>
      </c>
      <c r="D77" s="24" t="str">
        <f>IFERROR(__xludf.DUMMYFUNCTION("""COMPUTED_VALUE"""),"UFPel")</f>
        <v>UFPel</v>
      </c>
      <c r="E77" s="25">
        <f>IFERROR(__xludf.DUMMYFUNCTION("""COMPUTED_VALUE"""),2018.0)</f>
        <v>2018</v>
      </c>
      <c r="F77" s="24" t="str">
        <f>IFERROR(__xludf.DUMMYFUNCTION("""COMPUTED_VALUE"""),"Botânica; Genética vegetal; Melhoramento genético; Patologia vegetal")</f>
        <v>Botânica; Genética vegetal; Melhoramento genético; Patologia vegetal</v>
      </c>
      <c r="G77" s="28" t="str">
        <f>IFERROR(__xludf.DUMMYFUNCTION("""COMPUTED_VALUE"""),"9788551700242")</f>
        <v>9788551700242</v>
      </c>
      <c r="H77" s="29" t="str">
        <f>IFERROR(__xludf.DUMMYFUNCTION("""COMPUTED_VALUE"""),"http://guaiaca.ufpel.edu.br:8080/bitstream/prefix/4207/1/RESIST%c3%8aNCIA%20GEN%c3%89TICA%20DE%20PLANTAS%20A%20PAT%c3%93GENOS_EBOOK.pdf")</f>
        <v>http://guaiaca.ufpel.edu.br:8080/bitstream/prefix/4207/1/RESIST%c3%8aNCIA%20GEN%c3%89TICA%20DE%20PLANTAS%20A%20PAT%c3%93GENOS_EBOOK.pdf</v>
      </c>
      <c r="I77" s="24" t="str">
        <f>IFERROR(__xludf.DUMMYFUNCTION("""COMPUTED_VALUE"""),"Ciências Biológicas")</f>
        <v>Ciências Biológicas</v>
      </c>
    </row>
    <row r="78">
      <c r="A78" s="24" t="str">
        <f>IFERROR(__xludf.DUMMYFUNCTION("""COMPUTED_VALUE"""),"Revisões em Processos e Técnicas Avançadas de Isolamento e Determinação Estrutural de Ativos de Plantas Medicinais")</f>
        <v>Revisões em Processos e Técnicas Avançadas de Isolamento e Determinação Estrutural de Ativos de Plantas Medicinais</v>
      </c>
      <c r="B78" s="24" t="str">
        <f>IFERROR(__xludf.DUMMYFUNCTION("""COMPUTED_VALUE"""),"Gustavo Henrique Bianco de Souza; João Carlos Palazzo de Mello; Norberto Pepporini Lopez")</f>
        <v>Gustavo Henrique Bianco de Souza; João Carlos Palazzo de Mello; Norberto Pepporini Lopez</v>
      </c>
      <c r="C78" s="24" t="str">
        <f>IFERROR(__xludf.DUMMYFUNCTION("""COMPUTED_VALUE"""),"Ouro Preto")</f>
        <v>Ouro Preto</v>
      </c>
      <c r="D78" s="24" t="str">
        <f>IFERROR(__xludf.DUMMYFUNCTION("""COMPUTED_VALUE"""),"UFOP")</f>
        <v>UFOP</v>
      </c>
      <c r="E78" s="25">
        <f>IFERROR(__xludf.DUMMYFUNCTION("""COMPUTED_VALUE"""),2011.0)</f>
        <v>2011</v>
      </c>
      <c r="F78" s="24" t="str">
        <f>IFERROR(__xludf.DUMMYFUNCTION("""COMPUTED_VALUE"""),"Farmacognosia. Plantas medicinais. Princípios ativos. Fitoquímica")</f>
        <v>Farmacognosia. Plantas medicinais. Princípios ativos. Fitoquímica</v>
      </c>
      <c r="G78" s="28" t="str">
        <f>IFERROR(__xludf.DUMMYFUNCTION("""COMPUTED_VALUE"""),"9788528800845")</f>
        <v>9788528800845</v>
      </c>
      <c r="H78" s="29" t="str">
        <f>IFERROR(__xludf.DUMMYFUNCTION("""COMPUTED_VALUE"""),"https://www.editora.ufop.br/index.php/editora/catalog/view/53/38/126-1")</f>
        <v>https://www.editora.ufop.br/index.php/editora/catalog/view/53/38/126-1</v>
      </c>
      <c r="I78" s="24" t="str">
        <f>IFERROR(__xludf.DUMMYFUNCTION("""COMPUTED_VALUE"""),"Ciências Biológicas")</f>
        <v>Ciências Biológicas</v>
      </c>
    </row>
    <row r="79">
      <c r="A79" s="24" t="str">
        <f>IFERROR(__xludf.DUMMYFUNCTION("""COMPUTED_VALUE"""),"Saberes tradicionais e locais: reflexões etnobiológicas")</f>
        <v>Saberes tradicionais e locais: reflexões etnobiológicas</v>
      </c>
      <c r="B79" s="24" t="str">
        <f>IFERROR(__xludf.DUMMYFUNCTION("""COMPUTED_VALUE"""),"Organização Marcelo Guerra Santos e Mariana Quinteiro")</f>
        <v>Organização Marcelo Guerra Santos e Mariana Quinteiro</v>
      </c>
      <c r="C79" s="24" t="str">
        <f>IFERROR(__xludf.DUMMYFUNCTION("""COMPUTED_VALUE"""),"Rio de Janeiro")</f>
        <v>Rio de Janeiro</v>
      </c>
      <c r="D79" s="24" t="str">
        <f>IFERROR(__xludf.DUMMYFUNCTION("""COMPUTED_VALUE"""),"EdUERJ")</f>
        <v>EdUERJ</v>
      </c>
      <c r="E79" s="25">
        <f>IFERROR(__xludf.DUMMYFUNCTION("""COMPUTED_VALUE"""),2018.0)</f>
        <v>2018</v>
      </c>
      <c r="F79" s="24" t="str">
        <f>IFERROR(__xludf.DUMMYFUNCTION("""COMPUTED_VALUE"""),"Biologia; Botânica; Ecologia")</f>
        <v>Biologia; Botânica; Ecologia</v>
      </c>
      <c r="G79" s="28" t="str">
        <f>IFERROR(__xludf.DUMMYFUNCTION("""COMPUTED_VALUE"""),"9788575114858")</f>
        <v>9788575114858</v>
      </c>
      <c r="H79" s="29" t="str">
        <f>IFERROR(__xludf.DUMMYFUNCTION("""COMPUTED_VALUE"""),"https://www.eduerj.com/eng/?product=saberes-tradicionais-e-locais-reflexoes-etnobiologicas")</f>
        <v>https://www.eduerj.com/eng/?product=saberes-tradicionais-e-locais-reflexoes-etnobiologicas</v>
      </c>
      <c r="I79" s="24" t="str">
        <f>IFERROR(__xludf.DUMMYFUNCTION("""COMPUTED_VALUE"""),"Ciências Biológicas")</f>
        <v>Ciências Biológicas</v>
      </c>
    </row>
    <row r="80">
      <c r="A80" s="24" t="str">
        <f>IFERROR(__xludf.DUMMYFUNCTION("""COMPUTED_VALUE"""),"Saberes tradicionais e locais: reflexões etnobiológicas ")</f>
        <v>Saberes tradicionais e locais: reflexões etnobiológicas </v>
      </c>
      <c r="B80" s="24" t="str">
        <f>IFERROR(__xludf.DUMMYFUNCTION("""COMPUTED_VALUE"""),"Marcelo Guerra Santos, Mariana Quinteiro; organização. ")</f>
        <v>Marcelo Guerra Santos, Mariana Quinteiro; organização. </v>
      </c>
      <c r="C80" s="24" t="str">
        <f>IFERROR(__xludf.DUMMYFUNCTION("""COMPUTED_VALUE"""),"Rio de Janeiro, RJ")</f>
        <v>Rio de Janeiro, RJ</v>
      </c>
      <c r="D80" s="24" t="str">
        <f>IFERROR(__xludf.DUMMYFUNCTION("""COMPUTED_VALUE"""),"EdUERJ")</f>
        <v>EdUERJ</v>
      </c>
      <c r="E80" s="25">
        <f>IFERROR(__xludf.DUMMYFUNCTION("""COMPUTED_VALUE"""),2018.0)</f>
        <v>2018</v>
      </c>
      <c r="F80" s="24" t="str">
        <f>IFERROR(__xludf.DUMMYFUNCTION("""COMPUTED_VALUE"""),"Biologia; Botânica; Ecologia")</f>
        <v>Biologia; Botânica; Ecologia</v>
      </c>
      <c r="G80" s="28" t="str">
        <f>IFERROR(__xludf.DUMMYFUNCTION("""COMPUTED_VALUE"""),"9788575114858")</f>
        <v>9788575114858</v>
      </c>
      <c r="H80" s="29" t="str">
        <f>IFERROR(__xludf.DUMMYFUNCTION("""COMPUTED_VALUE"""),"http://books.scielo.org/id/zfzg5/pdf/santos-9788575114858.pdf")</f>
        <v>http://books.scielo.org/id/zfzg5/pdf/santos-9788575114858.pdf</v>
      </c>
      <c r="I80" s="24" t="str">
        <f>IFERROR(__xludf.DUMMYFUNCTION("""COMPUTED_VALUE"""),"Ciências Biológicas")</f>
        <v>Ciências Biológicas</v>
      </c>
    </row>
    <row r="81">
      <c r="A81" s="24" t="str">
        <f>IFERROR(__xludf.DUMMYFUNCTION("""COMPUTED_VALUE"""),"Sapos, Jias, Calangos e Serpentes Ameaçados de Extinção")</f>
        <v>Sapos, Jias, Calangos e Serpentes Ameaçados de Extinção</v>
      </c>
      <c r="B81" s="24" t="str">
        <f>IFERROR(__xludf.DUMMYFUNCTION("""COMPUTED_VALUE"""),"Erica Suzan Martins Lima, Emerson Gonçalves Dias e Ednilza Maranhão dos Santos")</f>
        <v>Erica Suzan Martins Lima, Emerson Gonçalves Dias e Ednilza Maranhão dos Santos</v>
      </c>
      <c r="C81" s="24" t="str">
        <f>IFERROR(__xludf.DUMMYFUNCTION("""COMPUTED_VALUE"""),"Recife")</f>
        <v>Recife</v>
      </c>
      <c r="D81" s="24" t="str">
        <f>IFERROR(__xludf.DUMMYFUNCTION("""COMPUTED_VALUE"""),"Editora Universitária da UFRPE")</f>
        <v>Editora Universitária da UFRPE</v>
      </c>
      <c r="E81" s="25">
        <f>IFERROR(__xludf.DUMMYFUNCTION("""COMPUTED_VALUE"""),2020.0)</f>
        <v>2020</v>
      </c>
      <c r="F81" s="24" t="str">
        <f>IFERROR(__xludf.DUMMYFUNCTION("""COMPUTED_VALUE"""),"Biologia; Animais; Ecologia; Ecossistemas; Educação ambiental")</f>
        <v>Biologia; Animais; Ecologia; Ecossistemas; Educação ambiental</v>
      </c>
      <c r="G81" s="28" t="str">
        <f>IFERROR(__xludf.DUMMYFUNCTION("""COMPUTED_VALUE"""),"9788579463631")</f>
        <v>9788579463631</v>
      </c>
      <c r="H81" s="29" t="str">
        <f>IFERROR(__xludf.DUMMYFUNCTION("""COMPUTED_VALUE"""),"https://drive.google.com/file/d/1tAHMtgb2_SZGcxXn3gMzAfrGfEkyvSIe/view?usp=sharing")</f>
        <v>https://drive.google.com/file/d/1tAHMtgb2_SZGcxXn3gMzAfrGfEkyvSIe/view?usp=sharing</v>
      </c>
      <c r="I81" s="24" t="str">
        <f>IFERROR(__xludf.DUMMYFUNCTION("""COMPUTED_VALUE"""),"Ciências Biológicas")</f>
        <v>Ciências Biológicas</v>
      </c>
    </row>
    <row r="82">
      <c r="A82" s="24" t="str">
        <f>IFERROR(__xludf.DUMMYFUNCTION("""COMPUTED_VALUE"""),"Serpentes do Alto Juruá, Acre, Amazônia brasileira")</f>
        <v>Serpentes do Alto Juruá, Acre, Amazônia brasileira</v>
      </c>
      <c r="B82" s="24" t="str">
        <f>IFERROR(__xludf.DUMMYFUNCTION("""COMPUTED_VALUE"""),"Paulo Sérgio Bernarde; Luiz Carlos B. Turci; Reginaldo Assêncio Machado")</f>
        <v>Paulo Sérgio Bernarde; Luiz Carlos B. Turci; Reginaldo Assêncio Machado</v>
      </c>
      <c r="C82" s="24" t="str">
        <f>IFERROR(__xludf.DUMMYFUNCTION("""COMPUTED_VALUE"""),"Rio Branco")</f>
        <v>Rio Branco</v>
      </c>
      <c r="D82" s="24" t="str">
        <f>IFERROR(__xludf.DUMMYFUNCTION("""COMPUTED_VALUE"""),"Edufac")</f>
        <v>Edufac</v>
      </c>
      <c r="E82" s="25">
        <f>IFERROR(__xludf.DUMMYFUNCTION("""COMPUTED_VALUE"""),2017.0)</f>
        <v>2017</v>
      </c>
      <c r="F82" s="24" t="str">
        <f>IFERROR(__xludf.DUMMYFUNCTION("""COMPUTED_VALUE"""),"Serpentes – Acre; Cobra venenosa – Acre; Réptil")</f>
        <v>Serpentes – Acre; Cobra venenosa – Acre; Réptil</v>
      </c>
      <c r="G82" s="28" t="str">
        <f>IFERROR(__xludf.DUMMYFUNCTION("""COMPUTED_VALUE"""),"9788582360620")</f>
        <v>9788582360620</v>
      </c>
      <c r="H82" s="29" t="str">
        <f>IFERROR(__xludf.DUMMYFUNCTION("""COMPUTED_VALUE"""),"http://www2.ufac.br/editora/livros/serpentes-do-alto-jurua.pdf")</f>
        <v>http://www2.ufac.br/editora/livros/serpentes-do-alto-jurua.pdf</v>
      </c>
      <c r="I82" s="24" t="str">
        <f>IFERROR(__xludf.DUMMYFUNCTION("""COMPUTED_VALUE"""),"Ciências Biológicas")</f>
        <v>Ciências Biológicas</v>
      </c>
    </row>
    <row r="83">
      <c r="A83" s="24" t="str">
        <f>IFERROR(__xludf.DUMMYFUNCTION("""COMPUTED_VALUE"""),"Serpentes do Campus da Universidade Federal Rural de Pernambuco")</f>
        <v>Serpentes do Campus da Universidade Federal Rural de Pernambuco</v>
      </c>
      <c r="B83" s="24" t="str">
        <f>IFERROR(__xludf.DUMMYFUNCTION("""COMPUTED_VALUE"""),"Vanessa do Nascimento Barbosa e Ednilza Maranhão dos Santos (org.)")</f>
        <v>Vanessa do Nascimento Barbosa e Ednilza Maranhão dos Santos (org.)</v>
      </c>
      <c r="C83" s="24" t="str">
        <f>IFERROR(__xludf.DUMMYFUNCTION("""COMPUTED_VALUE"""),"Recife")</f>
        <v>Recife</v>
      </c>
      <c r="D83" s="24" t="str">
        <f>IFERROR(__xludf.DUMMYFUNCTION("""COMPUTED_VALUE"""),"Editora Universitária da UFRPE")</f>
        <v>Editora Universitária da UFRPE</v>
      </c>
      <c r="E83" s="25">
        <f>IFERROR(__xludf.DUMMYFUNCTION("""COMPUTED_VALUE"""),2020.0)</f>
        <v>2020</v>
      </c>
      <c r="F83" s="24" t="str">
        <f>IFERROR(__xludf.DUMMYFUNCTION("""COMPUTED_VALUE"""),"Animais silvestres; Repteis; Cobra; Vida selvagem; Herpetologia")</f>
        <v>Animais silvestres; Repteis; Cobra; Vida selvagem; Herpetologia</v>
      </c>
      <c r="G83" s="28" t="str">
        <f>IFERROR(__xludf.DUMMYFUNCTION("""COMPUTED_VALUE"""),"9786586547061")</f>
        <v>9786586547061</v>
      </c>
      <c r="H83" s="29" t="str">
        <f>IFERROR(__xludf.DUMMYFUNCTION("""COMPUTED_VALUE"""),"https://drive.google.com/file/d/1HoXokQdWAKUjG3w2pufLn28ljBbF60-P/view")</f>
        <v>https://drive.google.com/file/d/1HoXokQdWAKUjG3w2pufLn28ljBbF60-P/view</v>
      </c>
      <c r="I83" s="24" t="str">
        <f>IFERROR(__xludf.DUMMYFUNCTION("""COMPUTED_VALUE"""),"Ciências Biológicas")</f>
        <v>Ciências Biológicas</v>
      </c>
    </row>
    <row r="84">
      <c r="A84" s="24" t="str">
        <f>IFERROR(__xludf.DUMMYFUNCTION("""COMPUTED_VALUE"""),"Super Frostão: um herói anfíbio")</f>
        <v>Super Frostão: um herói anfíbio</v>
      </c>
      <c r="B84" s="24" t="str">
        <f>IFERROR(__xludf.DUMMYFUNCTION("""COMPUTED_VALUE"""),"Emerson Gonçalves Dias, Ednilza Maranhão dos Santos")</f>
        <v>Emerson Gonçalves Dias, Ednilza Maranhão dos Santos</v>
      </c>
      <c r="C84" s="24" t="str">
        <f>IFERROR(__xludf.DUMMYFUNCTION("""COMPUTED_VALUE"""),"Recife")</f>
        <v>Recife</v>
      </c>
      <c r="D84" s="24" t="str">
        <f>IFERROR(__xludf.DUMMYFUNCTION("""COMPUTED_VALUE"""),"Editora Universitária da UFRPE")</f>
        <v>Editora Universitária da UFRPE</v>
      </c>
      <c r="E84" s="25">
        <f>IFERROR(__xludf.DUMMYFUNCTION("""COMPUTED_VALUE"""),2019.0)</f>
        <v>2019</v>
      </c>
      <c r="F84" s="24" t="str">
        <f>IFERROR(__xludf.DUMMYFUNCTION("""COMPUTED_VALUE"""),"Biologia; Animais; Vertebrados; Ecologia; Ecossistema")</f>
        <v>Biologia; Animais; Vertebrados; Ecologia; Ecossistema</v>
      </c>
      <c r="G84" s="28" t="str">
        <f>IFERROR(__xludf.DUMMYFUNCTION("""COMPUTED_VALUE"""),"9788579463402")</f>
        <v>9788579463402</v>
      </c>
      <c r="H84" s="29" t="str">
        <f>IFERROR(__xludf.DUMMYFUNCTION("""COMPUTED_VALUE"""),"https://drive.google.com/file/d/1i4w-j83jxPdZNt2FuiCZr-uiYVvgax_m/view?usp=sharing ")</f>
        <v>https://drive.google.com/file/d/1i4w-j83jxPdZNt2FuiCZr-uiYVvgax_m/view?usp=sharing </v>
      </c>
      <c r="I84" s="24" t="str">
        <f>IFERROR(__xludf.DUMMYFUNCTION("""COMPUTED_VALUE"""),"Ciências Biológicas")</f>
        <v>Ciências Biológicas</v>
      </c>
    </row>
    <row r="85">
      <c r="A85" s="24" t="str">
        <f>IFERROR(__xludf.DUMMYFUNCTION("""COMPUTED_VALUE"""),"Técnicas de Microbiologia Sanitária e Ambiental")</f>
        <v>Técnicas de Microbiologia Sanitária e Ambiental</v>
      </c>
      <c r="B85" s="24" t="str">
        <f>IFERROR(__xludf.DUMMYFUNCTION("""COMPUTED_VALUE"""),"Beatriz Susana Ovruski de Ceballos; Célia Regina Diniz")</f>
        <v>Beatriz Susana Ovruski de Ceballos; Célia Regina Diniz</v>
      </c>
      <c r="C85" s="24" t="str">
        <f>IFERROR(__xludf.DUMMYFUNCTION("""COMPUTED_VALUE"""),"Campina Grande")</f>
        <v>Campina Grande</v>
      </c>
      <c r="D85" s="24" t="str">
        <f>IFERROR(__xludf.DUMMYFUNCTION("""COMPUTED_VALUE"""),"EDUEPB")</f>
        <v>EDUEPB</v>
      </c>
      <c r="E85" s="25">
        <f>IFERROR(__xludf.DUMMYFUNCTION("""COMPUTED_VALUE"""),2017.0)</f>
        <v>2017</v>
      </c>
      <c r="F85" s="24" t="str">
        <f>IFERROR(__xludf.DUMMYFUNCTION("""COMPUTED_VALUE"""),"Microbiologia. Água. Saúde. Doenças. Poluição. Bactérias. Micro-organismos. Contaminação. Doenças de origem hídrica")</f>
        <v>Microbiologia. Água. Saúde. Doenças. Poluição. Bactérias. Micro-organismos. Contaminação. Doenças de origem hídrica</v>
      </c>
      <c r="G85" s="28" t="str">
        <f>IFERROR(__xludf.DUMMYFUNCTION("""COMPUTED_VALUE"""),"9788578792862")</f>
        <v>9788578792862</v>
      </c>
      <c r="H85" s="29" t="str">
        <f>IFERROR(__xludf.DUMMYFUNCTION("""COMPUTED_VALUE"""),"http://eduepb.uepb.edu.br/download/tecnicas-de-microbiologia-sanitaria-e-ambiental/?wpdmdl=219&amp;amp;masterkey=5af9a1e04d13a")</f>
        <v>http://eduepb.uepb.edu.br/download/tecnicas-de-microbiologia-sanitaria-e-ambiental/?wpdmdl=219&amp;amp;masterkey=5af9a1e04d13a</v>
      </c>
      <c r="I85" s="24" t="str">
        <f>IFERROR(__xludf.DUMMYFUNCTION("""COMPUTED_VALUE"""),"Ciências Biológicas")</f>
        <v>Ciências Biológicas</v>
      </c>
    </row>
    <row r="86">
      <c r="A86" s="24" t="str">
        <f>IFERROR(__xludf.DUMMYFUNCTION("""COMPUTED_VALUE"""),"Todo dia é dia de ciência: seres vivo")</f>
        <v>Todo dia é dia de ciência: seres vivo</v>
      </c>
      <c r="B86" s="24" t="str">
        <f>IFERROR(__xludf.DUMMYFUNCTION("""COMPUTED_VALUE"""),"Mirley Luciene dos Santos (org.)")</f>
        <v>Mirley Luciene dos Santos (org.)</v>
      </c>
      <c r="C86" s="24" t="str">
        <f>IFERROR(__xludf.DUMMYFUNCTION("""COMPUTED_VALUE"""),"Anápolis")</f>
        <v>Anápolis</v>
      </c>
      <c r="D86" s="24" t="str">
        <f>IFERROR(__xludf.DUMMYFUNCTION("""COMPUTED_VALUE"""),"UEG")</f>
        <v>UEG</v>
      </c>
      <c r="E86" s="25">
        <f>IFERROR(__xludf.DUMMYFUNCTION("""COMPUTED_VALUE"""),2016.0)</f>
        <v>2016</v>
      </c>
      <c r="F86" s="24" t="str">
        <f>IFERROR(__xludf.DUMMYFUNCTION("""COMPUTED_VALUE"""),"Educação; Ensino; Ciência; Ensino de Ciência; Atividade científica")</f>
        <v>Educação; Ensino; Ciência; Ensino de Ciência; Atividade científica</v>
      </c>
      <c r="G86" s="28" t="str">
        <f>IFERROR(__xludf.DUMMYFUNCTION("""COMPUTED_VALUE"""),"9788555820205")</f>
        <v>9788555820205</v>
      </c>
      <c r="H86" s="29" t="str">
        <f>IFERROR(__xludf.DUMMYFUNCTION("""COMPUTED_VALUE"""),"http://cdn.ueg.edu.br/source/editora_ueg/conteudo_compartilhado/11013/Todo_dia_e_dia_de_ciencia_livro_2_seres_vivos.pdf")</f>
        <v>http://cdn.ueg.edu.br/source/editora_ueg/conteudo_compartilhado/11013/Todo_dia_e_dia_de_ciencia_livro_2_seres_vivos.pdf</v>
      </c>
      <c r="I86" s="24" t="str">
        <f>IFERROR(__xludf.DUMMYFUNCTION("""COMPUTED_VALUE"""),"Ciências Biológicas")</f>
        <v>Ciências Biológicas</v>
      </c>
    </row>
    <row r="87">
      <c r="A87" s="24" t="str">
        <f>IFERROR(__xludf.DUMMYFUNCTION("""COMPUTED_VALUE"""),"Tópicos em biotecnologia e biodiversidade: pesquisas e inovação na Amazônia Sul Ocidental")</f>
        <v>Tópicos em biotecnologia e biodiversidade: pesquisas e inovação na Amazônia Sul Ocidental</v>
      </c>
      <c r="B87" s="24" t="str">
        <f>IFERROR(__xludf.DUMMYFUNCTION("""COMPUTED_VALUE"""),"Marta Adelino da Silva Faria; Mauro Jorge Ribeiro; Paula de Lacerda Santos Ribeiro (org.)")</f>
        <v>Marta Adelino da Silva Faria; Mauro Jorge Ribeiro; Paula de Lacerda Santos Ribeiro (org.)</v>
      </c>
      <c r="C87" s="24" t="str">
        <f>IFERROR(__xludf.DUMMYFUNCTION("""COMPUTED_VALUE"""),"Rio Branco")</f>
        <v>Rio Branco</v>
      </c>
      <c r="D87" s="24" t="str">
        <f>IFERROR(__xludf.DUMMYFUNCTION("""COMPUTED_VALUE"""),"Edufac")</f>
        <v>Edufac</v>
      </c>
      <c r="E87" s="25">
        <f>IFERROR(__xludf.DUMMYFUNCTION("""COMPUTED_VALUE"""),2017.0)</f>
        <v>2017</v>
      </c>
      <c r="F87" s="24" t="str">
        <f>IFERROR(__xludf.DUMMYFUNCTION("""COMPUTED_VALUE"""),"Biotecnologia; Biodiversidade; Pesquisa – Amazônia Sul Ocidental; Acre")</f>
        <v>Biotecnologia; Biodiversidade; Pesquisa – Amazônia Sul Ocidental; Acre</v>
      </c>
      <c r="G87" s="28" t="str">
        <f>IFERROR(__xludf.DUMMYFUNCTION("""COMPUTED_VALUE"""),"9788582360538")</f>
        <v>9788582360538</v>
      </c>
      <c r="H87" s="29" t="str">
        <f>IFERROR(__xludf.DUMMYFUNCTION("""COMPUTED_VALUE"""),"http://www2.ufac.br/editora/livros/topicos-em-biotecnologia-e-biodiversidade.pdf")</f>
        <v>http://www2.ufac.br/editora/livros/topicos-em-biotecnologia-e-biodiversidade.pdf</v>
      </c>
      <c r="I87" s="24" t="str">
        <f>IFERROR(__xludf.DUMMYFUNCTION("""COMPUTED_VALUE"""),"Ciências Biológicas")</f>
        <v>Ciências Biológicas</v>
      </c>
    </row>
    <row r="88">
      <c r="A88" s="24" t="str">
        <f>IFERROR(__xludf.DUMMYFUNCTION("""COMPUTED_VALUE"""),"Vertebrados Terrestres da Ilha de Paulo Afonso")</f>
        <v>Vertebrados Terrestres da Ilha de Paulo Afonso</v>
      </c>
      <c r="B88" s="24" t="str">
        <f>IFERROR(__xludf.DUMMYFUNCTION("""COMPUTED_VALUE"""),"Geraldo Jorge Barbosa de Moura, Eliane Maria de Souza Nogueira, Tiago Shizen Pacheco Toma (org.)")</f>
        <v>Geraldo Jorge Barbosa de Moura, Eliane Maria de Souza Nogueira, Tiago Shizen Pacheco Toma (org.)</v>
      </c>
      <c r="C88" s="24" t="str">
        <f>IFERROR(__xludf.DUMMYFUNCTION("""COMPUTED_VALUE"""),"Recife")</f>
        <v>Recife</v>
      </c>
      <c r="D88" s="24" t="str">
        <f>IFERROR(__xludf.DUMMYFUNCTION("""COMPUTED_VALUE"""),"Editora Universitária da UFRPE")</f>
        <v>Editora Universitária da UFRPE</v>
      </c>
      <c r="E88" s="25">
        <f>IFERROR(__xludf.DUMMYFUNCTION("""COMPUTED_VALUE"""),2017.0)</f>
        <v>2017</v>
      </c>
      <c r="F88" s="24" t="str">
        <f>IFERROR(__xludf.DUMMYFUNCTION("""COMPUTED_VALUE"""),"Vertebrados; Animais; Zoologia; Ecologia ")</f>
        <v>Vertebrados; Animais; Zoologia; Ecologia </v>
      </c>
      <c r="G88" s="28" t="str">
        <f>IFERROR(__xludf.DUMMYFUNCTION("""COMPUTED_VALUE"""),"9788579462801")</f>
        <v>9788579462801</v>
      </c>
      <c r="H88" s="29" t="str">
        <f>IFERROR(__xludf.DUMMYFUNCTION("""COMPUTED_VALUE"""),"https://www.dropbox.com/s/rz6h4hlrwm59tbs/Livro_VERTEBRADOS_TERRESTRES.pdf?dl=0")</f>
        <v>https://www.dropbox.com/s/rz6h4hlrwm59tbs/Livro_VERTEBRADOS_TERRESTRES.pdf?dl=0</v>
      </c>
      <c r="I88" s="24" t="str">
        <f>IFERROR(__xludf.DUMMYFUNCTION("""COMPUTED_VALUE"""),"Ciências Biológicas")</f>
        <v>Ciências Biológicas</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s>
  <drawing r:id="rId88"/>
  <tableParts count="1">
    <tablePart r:id="rId90"/>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7.57"/>
    <col customWidth="1" min="2" max="2" width="31.43"/>
    <col customWidth="1" min="3" max="3" width="13.86"/>
    <col customWidth="1" min="4" max="4" width="12.43"/>
    <col customWidth="1" min="5" max="5" width="7.57"/>
    <col customWidth="1" min="6" max="6" width="33.71"/>
    <col customWidth="1" min="7" max="7" width="15.57"/>
    <col customWidth="1" min="8" max="8" width="24.0"/>
    <col customWidth="1" hidden="1" min="9" max="9" width="24.0"/>
  </cols>
  <sheetData>
    <row r="1">
      <c r="A1" s="19" t="s">
        <v>23</v>
      </c>
      <c r="B1" s="20" t="s">
        <v>24</v>
      </c>
      <c r="C1" s="20" t="s">
        <v>25</v>
      </c>
      <c r="D1" s="20" t="s">
        <v>26</v>
      </c>
      <c r="E1" s="21" t="s">
        <v>27</v>
      </c>
      <c r="F1" s="20" t="s">
        <v>28</v>
      </c>
      <c r="G1" s="20" t="s">
        <v>29</v>
      </c>
      <c r="H1" s="23" t="s">
        <v>30</v>
      </c>
      <c r="I1" s="20" t="s">
        <v>31</v>
      </c>
    </row>
    <row r="2">
      <c r="A2" s="24" t="str">
        <f>IFERROR(__xludf.DUMMYFUNCTION("IMPORTRANGE(""https://docs.google.com/spreadsheets/d/13YtZlkEQw4W38VCdbK3PbAk4uf6r7LAkUEaRwo0J7Jo/edit#gid=291977917"",""PlanilhaUnificada!B195:J357"")"),"(Trans)Formações das Residências Multiprofissionais em Saúde")</f>
        <v>(Trans)Formações das Residências Multiprofissionais em Saúde</v>
      </c>
      <c r="B2" s="24" t="str">
        <f>IFERROR(__xludf.DUMMYFUNCTION("""COMPUTED_VALUE"""),"Diógenes Farias Gomes, Maria Socorro de Araújo Dias, Ana Karina de Sousa Gadelha, Viviane Oliveira Mendes Cavalcante, Adriano Ferreira Martins")</f>
        <v>Diógenes Farias Gomes, Maria Socorro de Araújo Dias, Ana Karina de Sousa Gadelha, Viviane Oliveira Mendes Cavalcante, Adriano Ferreira Martins</v>
      </c>
      <c r="C2" s="24" t="str">
        <f>IFERROR(__xludf.DUMMYFUNCTION("""COMPUTED_VALUE"""),"Sobral")</f>
        <v>Sobral</v>
      </c>
      <c r="D2" s="24" t="str">
        <f>IFERROR(__xludf.DUMMYFUNCTION("""COMPUTED_VALUE"""),"Edições UVA")</f>
        <v>Edições UVA</v>
      </c>
      <c r="E2" s="25">
        <f>IFERROR(__xludf.DUMMYFUNCTION("""COMPUTED_VALUE"""),2020.0)</f>
        <v>2020</v>
      </c>
      <c r="F2" s="24" t="str">
        <f>IFERROR(__xludf.DUMMYFUNCTION("""COMPUTED_VALUE"""),"Residência multiprofissional em saúde, Educação na; saúde, Saúde da família, Saúde mental")</f>
        <v>Residência multiprofissional em saúde, Educação na; saúde, Saúde da família, Saúde mental</v>
      </c>
      <c r="G2" s="28" t="str">
        <f>IFERROR(__xludf.DUMMYFUNCTION("""COMPUTED_VALUE"""),"9786587115016")</f>
        <v>9786587115016</v>
      </c>
      <c r="H2" s="36" t="str">
        <f>IFERROR(__xludf.DUMMYFUNCTION("""COMPUTED_VALUE"""),"http://www.uvanet.br/edicoes_uva/gera_xml.php?arquivo=transf_residencias")</f>
        <v>http://www.uvanet.br/edicoes_uva/gera_xml.php?arquivo=transf_residencias</v>
      </c>
      <c r="I2" s="24" t="str">
        <f>IFERROR(__xludf.DUMMYFUNCTION("""COMPUTED_VALUE"""),"Ciências da Saúde")</f>
        <v>Ciências da Saúde</v>
      </c>
    </row>
    <row r="3">
      <c r="A3" s="24" t="str">
        <f>IFERROR(__xludf.DUMMYFUNCTION("""COMPUTED_VALUE"""),"10 anos de “caminhada”: o curso de licenciatura em educação física da FAED/UFGD.")</f>
        <v>10 anos de “caminhada”: o curso de licenciatura em educação física da FAED/UFGD.</v>
      </c>
      <c r="B3" s="24" t="str">
        <f>IFERROR(__xludf.DUMMYFUNCTION("""COMPUTED_VALUE"""),"Manuel Pacheco Neto")</f>
        <v>Manuel Pacheco Neto</v>
      </c>
      <c r="C3" s="24" t="str">
        <f>IFERROR(__xludf.DUMMYFUNCTION("""COMPUTED_VALUE"""),"Dourados, MS")</f>
        <v>Dourados, MS</v>
      </c>
      <c r="D3" s="24" t="str">
        <f>IFERROR(__xludf.DUMMYFUNCTION("""COMPUTED_VALUE"""),"Ed. UFGD")</f>
        <v>Ed. UFGD</v>
      </c>
      <c r="E3" s="25">
        <f>IFERROR(__xludf.DUMMYFUNCTION("""COMPUTED_VALUE"""),2020.0)</f>
        <v>2020</v>
      </c>
      <c r="F3" s="24" t="str">
        <f>IFERROR(__xludf.DUMMYFUNCTION("""COMPUTED_VALUE"""),"História; Educação física; Licenciatura")</f>
        <v>História; Educação física; Licenciatura</v>
      </c>
      <c r="G3" s="28" t="str">
        <f>IFERROR(__xludf.DUMMYFUNCTION("""COMPUTED_VALUE"""),"9788581471785")</f>
        <v>9788581471785</v>
      </c>
      <c r="H3" s="36" t="str">
        <f>IFERROR(__xludf.DUMMYFUNCTION("""COMPUTED_VALUE"""),"http://omp.ufgd.edu.br/omp/index.php/livrosabertos/catalog/view/327/258/2468-22")</f>
        <v>http://omp.ufgd.edu.br/omp/index.php/livrosabertos/catalog/view/327/258/2468-22</v>
      </c>
      <c r="I3" s="24" t="str">
        <f>IFERROR(__xludf.DUMMYFUNCTION("""COMPUTED_VALUE"""),"Ciências da Saúde")</f>
        <v>Ciências da Saúde</v>
      </c>
    </row>
    <row r="4">
      <c r="A4" s="24" t="str">
        <f>IFERROR(__xludf.DUMMYFUNCTION("""COMPUTED_VALUE"""),"20 anos: Fisioterapia: Unoesc Joaçaba: 1999-2019")</f>
        <v>20 anos: Fisioterapia: Unoesc Joaçaba: 1999-2019</v>
      </c>
      <c r="B4" s="24" t="str">
        <f>IFERROR(__xludf.DUMMYFUNCTION("""COMPUTED_VALUE"""),"Antuani Rafael Baptistella, Chrystianne Barros Saretto, Eduardo Linden Junior, Lorena Zanelatto Marques, Maria Esther Duran Traverso e Rogerio Augusto Bilibio")</f>
        <v>Antuani Rafael Baptistella, Chrystianne Barros Saretto, Eduardo Linden Junior, Lorena Zanelatto Marques, Maria Esther Duran Traverso e Rogerio Augusto Bilibio</v>
      </c>
      <c r="C4" s="24" t="str">
        <f>IFERROR(__xludf.DUMMYFUNCTION("""COMPUTED_VALUE"""),"Joaçaba")</f>
        <v>Joaçaba</v>
      </c>
      <c r="D4" s="24" t="str">
        <f>IFERROR(__xludf.DUMMYFUNCTION("""COMPUTED_VALUE"""),"Unoesc")</f>
        <v>Unoesc</v>
      </c>
      <c r="E4" s="25">
        <f>IFERROR(__xludf.DUMMYFUNCTION("""COMPUTED_VALUE"""),2019.0)</f>
        <v>2019</v>
      </c>
      <c r="F4" s="24" t="str">
        <f>IFERROR(__xludf.DUMMYFUNCTION("""COMPUTED_VALUE"""),"Fisioterapia – Universidade do Oeste de Santa Catarina, Fisioterapia – História")</f>
        <v>Fisioterapia – Universidade do Oeste de Santa Catarina, Fisioterapia – História</v>
      </c>
      <c r="G4" s="28" t="str">
        <f>IFERROR(__xludf.DUMMYFUNCTION("""COMPUTED_VALUE"""),"9788584222155")</f>
        <v>9788584222155</v>
      </c>
      <c r="H4" s="36" t="str">
        <f>IFERROR(__xludf.DUMMYFUNCTION("""COMPUTED_VALUE"""),"https://www.unoesc.edu.br/images/uploads/editora/E-book_-_20_anos_Fisioterapia.pdf")</f>
        <v>https://www.unoesc.edu.br/images/uploads/editora/E-book_-_20_anos_Fisioterapia.pdf</v>
      </c>
      <c r="I4" s="24" t="str">
        <f>IFERROR(__xludf.DUMMYFUNCTION("""COMPUTED_VALUE"""),"Ciências da Saúde")</f>
        <v>Ciências da Saúde</v>
      </c>
    </row>
    <row r="5">
      <c r="A5" s="24" t="str">
        <f>IFERROR(__xludf.DUMMYFUNCTION("""COMPUTED_VALUE"""),"A Cartografia na Geografia da Saúde : Metodologias e Técnica")</f>
        <v>A Cartografia na Geografia da Saúde : Metodologias e Técnica</v>
      </c>
      <c r="B5" s="24" t="str">
        <f>IFERROR(__xludf.DUMMYFUNCTION("""COMPUTED_VALUE"""),"Eduardo Augusto Werneck Ribeiro; ")</f>
        <v>Eduardo Augusto Werneck Ribeiro; </v>
      </c>
      <c r="C5" s="24" t="str">
        <f>IFERROR(__xludf.DUMMYFUNCTION("""COMPUTED_VALUE"""),"Blumenau")</f>
        <v>Blumenau</v>
      </c>
      <c r="D5" s="24" t="str">
        <f>IFERROR(__xludf.DUMMYFUNCTION("""COMPUTED_VALUE"""),"Instituto Federal Catarinense")</f>
        <v>Instituto Federal Catarinense</v>
      </c>
      <c r="E5" s="25">
        <f>IFERROR(__xludf.DUMMYFUNCTION("""COMPUTED_VALUE"""),2019.0)</f>
        <v>2019</v>
      </c>
      <c r="F5" s="24" t="str">
        <f>IFERROR(__xludf.DUMMYFUNCTION("""COMPUTED_VALUE"""),"Imagens termais. Geocodificação. Saúde mental - Uruguai. Saúde Mental. Intersetorialidade - Saúde")</f>
        <v>Imagens termais. Geocodificação. Saúde mental - Uruguai. Saúde Mental. Intersetorialidade - Saúde</v>
      </c>
      <c r="G5" s="28" t="str">
        <f>IFERROR(__xludf.DUMMYFUNCTION("""COMPUTED_VALUE"""),"9788556440433")</f>
        <v>9788556440433</v>
      </c>
      <c r="H5" s="36" t="str">
        <f>IFERROR(__xludf.DUMMYFUNCTION("""COMPUTED_VALUE"""),"https://editora.ifc.edu.br/2019/10/08/a-cartografia-na-geografia-da-saude-metodologias-e-tecnicas/")</f>
        <v>https://editora.ifc.edu.br/2019/10/08/a-cartografia-na-geografia-da-saude-metodologias-e-tecnicas/</v>
      </c>
      <c r="I5" s="24" t="str">
        <f>IFERROR(__xludf.DUMMYFUNCTION("""COMPUTED_VALUE"""),"Ciências da Saúde")</f>
        <v>Ciências da Saúde</v>
      </c>
    </row>
    <row r="6">
      <c r="A6" s="24" t="str">
        <f>IFERROR(__xludf.DUMMYFUNCTION("""COMPUTED_VALUE"""),"A custódia e o tratamento psiquiátrico no Brasil: censo 2011 ")</f>
        <v>A custódia e o tratamento psiquiátrico no Brasil: censo 2011 </v>
      </c>
      <c r="B6" s="24" t="str">
        <f>IFERROR(__xludf.DUMMYFUNCTION("""COMPUTED_VALUE"""),"Debora Diniz")</f>
        <v>Debora Diniz</v>
      </c>
      <c r="C6" s="24" t="str">
        <f>IFERROR(__xludf.DUMMYFUNCTION("""COMPUTED_VALUE"""),"Brasília")</f>
        <v>Brasília</v>
      </c>
      <c r="D6" s="24" t="str">
        <f>IFERROR(__xludf.DUMMYFUNCTION("""COMPUTED_VALUE"""),"Editora Universidade de Brasília")</f>
        <v>Editora Universidade de Brasília</v>
      </c>
      <c r="E6" s="25">
        <f>IFERROR(__xludf.DUMMYFUNCTION("""COMPUTED_VALUE"""),2013.0)</f>
        <v>2013</v>
      </c>
      <c r="F6" s="24" t="str">
        <f>IFERROR(__xludf.DUMMYFUNCTION("""COMPUTED_VALUE"""),"Doença mental; Transtorno psiquiátrico; Medida de segurança; Louco infrator")</f>
        <v>Doença mental; Transtorno psiquiátrico; Medida de segurança; Louco infrator</v>
      </c>
      <c r="G6" s="28" t="str">
        <f>IFERROR(__xludf.DUMMYFUNCTION("""COMPUTED_VALUE"""),"9788598070353")</f>
        <v>9788598070353</v>
      </c>
      <c r="H6" s="36" t="str">
        <f>IFERROR(__xludf.DUMMYFUNCTION("""COMPUTED_VALUE"""),"https://livros.unb.br/index.php/portal/catalog/view/9/8/39-1")</f>
        <v>https://livros.unb.br/index.php/portal/catalog/view/9/8/39-1</v>
      </c>
      <c r="I6" s="24" t="str">
        <f>IFERROR(__xludf.DUMMYFUNCTION("""COMPUTED_VALUE"""),"Ciências da Saúde")</f>
        <v>Ciências da Saúde</v>
      </c>
    </row>
    <row r="7">
      <c r="A7" s="24" t="str">
        <f>IFERROR(__xludf.DUMMYFUNCTION("""COMPUTED_VALUE"""),"A Epidemiologia Histórico-Ontológica da Febre Amarela em Pernambuco")</f>
        <v>A Epidemiologia Histórico-Ontológica da Febre Amarela em Pernambuco</v>
      </c>
      <c r="B7" s="24" t="str">
        <f>IFERROR(__xludf.DUMMYFUNCTION("""COMPUTED_VALUE"""),"Argus Vasconcelos de Almeida")</f>
        <v>Argus Vasconcelos de Almeida</v>
      </c>
      <c r="C7" s="24" t="str">
        <f>IFERROR(__xludf.DUMMYFUNCTION("""COMPUTED_VALUE"""),"Recife")</f>
        <v>Recife</v>
      </c>
      <c r="D7" s="24" t="str">
        <f>IFERROR(__xludf.DUMMYFUNCTION("""COMPUTED_VALUE"""),"Editora Universitária da UFRPE")</f>
        <v>Editora Universitária da UFRPE</v>
      </c>
      <c r="E7" s="25">
        <f>IFERROR(__xludf.DUMMYFUNCTION("""COMPUTED_VALUE"""),2018.0)</f>
        <v>2018</v>
      </c>
      <c r="F7" s="24" t="str">
        <f>IFERROR(__xludf.DUMMYFUNCTION("""COMPUTED_VALUE"""),"Epidemiologia; Febre amarela; Pernambuco")</f>
        <v>Epidemiologia; Febre amarela; Pernambuco</v>
      </c>
      <c r="G7" s="28" t="str">
        <f>IFERROR(__xludf.DUMMYFUNCTION("""COMPUTED_VALUE"""),"9788579463280")</f>
        <v>9788579463280</v>
      </c>
      <c r="H7" s="36" t="str">
        <f>IFERROR(__xludf.DUMMYFUNCTION("""COMPUTED_VALUE"""),"https://drive.google.com/file/d/1iQ5wf8Dh5b6jCCN5oFYOkrIPaouNESxo/view?usp=sharing")</f>
        <v>https://drive.google.com/file/d/1iQ5wf8Dh5b6jCCN5oFYOkrIPaouNESxo/view?usp=sharing</v>
      </c>
      <c r="I7" s="24" t="str">
        <f>IFERROR(__xludf.DUMMYFUNCTION("""COMPUTED_VALUE"""),"Ciências da Saúde")</f>
        <v>Ciências da Saúde</v>
      </c>
    </row>
    <row r="8">
      <c r="A8" s="24" t="str">
        <f>IFERROR(__xludf.DUMMYFUNCTION("""COMPUTED_VALUE"""),"A face oculta da nutrição: ciência e ideologia")</f>
        <v>A face oculta da nutrição: ciência e ideologia</v>
      </c>
      <c r="B8" s="24" t="str">
        <f>IFERROR(__xludf.DUMMYFUNCTION("""COMPUTED_VALUE"""),"Maria Lucia Magalhães Bosi")</f>
        <v>Maria Lucia Magalhães Bosi</v>
      </c>
      <c r="C8" s="24" t="str">
        <f>IFERROR(__xludf.DUMMYFUNCTION("""COMPUTED_VALUE"""),"Rio de Janeiro")</f>
        <v>Rio de Janeiro</v>
      </c>
      <c r="D8" s="24" t="str">
        <f>IFERROR(__xludf.DUMMYFUNCTION("""COMPUTED_VALUE"""),"Editora UFRJ")</f>
        <v>Editora UFRJ</v>
      </c>
      <c r="E8" s="25">
        <f>IFERROR(__xludf.DUMMYFUNCTION("""COMPUTED_VALUE"""),1998.0)</f>
        <v>1998</v>
      </c>
      <c r="F8" s="24" t="str">
        <f>IFERROR(__xludf.DUMMYFUNCTION("""COMPUTED_VALUE"""),"Nutrição; Ciência; Ideologia")</f>
        <v>Nutrição; Ciência; Ideologia</v>
      </c>
      <c r="G8" s="28" t="str">
        <f>IFERROR(__xludf.DUMMYFUNCTION("""COMPUTED_VALUE"""),"8571080216")</f>
        <v>8571080216</v>
      </c>
      <c r="H8" s="29" t="str">
        <f>IFERROR(__xludf.DUMMYFUNCTION("""COMPUTED_VALUE"""),"http://www.editora.ufrj.br/DynamicItems/livrosabertos-1/AFaceOcultaDaNutricao_compressed.pdf")</f>
        <v>http://www.editora.ufrj.br/DynamicItems/livrosabertos-1/AFaceOcultaDaNutricao_compressed.pdf</v>
      </c>
      <c r="I8" s="24" t="str">
        <f>IFERROR(__xludf.DUMMYFUNCTION("""COMPUTED_VALUE"""),"Ciências da Saúde")</f>
        <v>Ciências da Saúde</v>
      </c>
    </row>
    <row r="9">
      <c r="A9" s="24" t="str">
        <f>IFERROR(__xludf.DUMMYFUNCTION("""COMPUTED_VALUE"""),"A Política de Saúde Mental no Piauí Sob a Égide da Raps")</f>
        <v>A Política de Saúde Mental no Piauí Sob a Égide da Raps</v>
      </c>
      <c r="B9" s="24" t="str">
        <f>IFERROR(__xludf.DUMMYFUNCTION("""COMPUTED_VALUE"""),"Sofia Laurentino Barbosa Pereira; Lucia Cristina dos Santos Rosa; Ellayne Karoline Bezerra da Silva e Juliana Barbosa Dias Maia (org.)")</f>
        <v>Sofia Laurentino Barbosa Pereira; Lucia Cristina dos Santos Rosa; Ellayne Karoline Bezerra da Silva e Juliana Barbosa Dias Maia (org.)</v>
      </c>
      <c r="C9" s="24" t="str">
        <f>IFERROR(__xludf.DUMMYFUNCTION("""COMPUTED_VALUE"""),"Teresina")</f>
        <v>Teresina</v>
      </c>
      <c r="D9" s="24" t="str">
        <f>IFERROR(__xludf.DUMMYFUNCTION("""COMPUTED_VALUE"""),"EDUFPI")</f>
        <v>EDUFPI</v>
      </c>
      <c r="E9" s="25">
        <f>IFERROR(__xludf.DUMMYFUNCTION("""COMPUTED_VALUE"""),2017.0)</f>
        <v>2017</v>
      </c>
      <c r="F9" s="24" t="str">
        <f>IFERROR(__xludf.DUMMYFUNCTION("""COMPUTED_VALUE"""),"Saúde Mental; Rede de Atenção Psicossocial; Saúde")</f>
        <v>Saúde Mental; Rede de Atenção Psicossocial; Saúde</v>
      </c>
      <c r="G9" s="28" t="str">
        <f>IFERROR(__xludf.DUMMYFUNCTION("""COMPUTED_VALUE"""),"9788550901725")</f>
        <v>9788550901725</v>
      </c>
      <c r="H9" s="29" t="str">
        <f>IFERROR(__xludf.DUMMYFUNCTION("""COMPUTED_VALUE"""),"https://www.ufpi.br/arquivos_download/arquivos/EDUFPI/A_POL%C3%8DTICA_DE_SA%C3%9ADE_MENTAL_NO_PIAU%C3%8D_SOB_A_%C3%89GIDE_DA_RAPS.pdf")</f>
        <v>https://www.ufpi.br/arquivos_download/arquivos/EDUFPI/A_POL%C3%8DTICA_DE_SA%C3%9ADE_MENTAL_NO_PIAU%C3%8D_SOB_A_%C3%89GIDE_DA_RAPS.pdf</v>
      </c>
      <c r="I9" s="24" t="str">
        <f>IFERROR(__xludf.DUMMYFUNCTION("""COMPUTED_VALUE"""),"Ciências da Saúde")</f>
        <v>Ciências da Saúde</v>
      </c>
    </row>
    <row r="10">
      <c r="A10" s="24" t="str">
        <f>IFERROR(__xludf.DUMMYFUNCTION("""COMPUTED_VALUE"""),"A prática diária na estratégia saúde da família")</f>
        <v>A prática diária na estratégia saúde da família</v>
      </c>
      <c r="B10" s="24" t="str">
        <f>IFERROR(__xludf.DUMMYFUNCTION("""COMPUTED_VALUE"""),"Dayse Maria Morais e Souza")</f>
        <v>Dayse Maria Morais e Souza</v>
      </c>
      <c r="C10" s="24" t="str">
        <f>IFERROR(__xludf.DUMMYFUNCTION("""COMPUTED_VALUE"""),"Juiz de Fora")</f>
        <v>Juiz de Fora</v>
      </c>
      <c r="D10" s="24" t="str">
        <f>IFERROR(__xludf.DUMMYFUNCTION("""COMPUTED_VALUE"""),"Editora UFJF")</f>
        <v>Editora UFJF</v>
      </c>
      <c r="E10" s="25">
        <f>IFERROR(__xludf.DUMMYFUNCTION("""COMPUTED_VALUE"""),2011.0)</f>
        <v>2011</v>
      </c>
      <c r="F10" s="24" t="str">
        <f>IFERROR(__xludf.DUMMYFUNCTION("""COMPUTED_VALUE"""),"Saúde da família, Competência Clínica")</f>
        <v>Saúde da família, Competência Clínica</v>
      </c>
      <c r="G10" s="28" t="str">
        <f>IFERROR(__xludf.DUMMYFUNCTION("""COMPUTED_VALUE"""),"9788576721109")</f>
        <v>9788576721109</v>
      </c>
      <c r="H10" s="29" t="str">
        <f>IFERROR(__xludf.DUMMYFUNCTION("""COMPUTED_VALUE"""),"http://www2.ufjf.br/editora/wp-content/uploads/sites/113/2018/02/a_pratica_diaria_na_estrategia_saude_da_familia.pdf")</f>
        <v>http://www2.ufjf.br/editora/wp-content/uploads/sites/113/2018/02/a_pratica_diaria_na_estrategia_saude_da_familia.pdf</v>
      </c>
      <c r="I10" s="24" t="str">
        <f>IFERROR(__xludf.DUMMYFUNCTION("""COMPUTED_VALUE"""),"Ciências da Saúde")</f>
        <v>Ciências da Saúde</v>
      </c>
    </row>
    <row r="11">
      <c r="A11" s="24" t="str">
        <f>IFERROR(__xludf.DUMMYFUNCTION("""COMPUTED_VALUE"""),"A prática humanizada da Enfermagem na virada do novo milênio: comemoração dos 75 anos da Escola de Enfermagem Magalhães Barata ")</f>
        <v>A prática humanizada da Enfermagem na virada do novo milênio: comemoração dos 75 anos da Escola de Enfermagem Magalhães Barata </v>
      </c>
      <c r="B11" s="24" t="str">
        <f>IFERROR(__xludf.DUMMYFUNCTION("""COMPUTED_VALUE"""),"Organização; de José Augusto Carvalho de Araújo, Margarete Carréra Bittencourt")</f>
        <v>Organização; de José Augusto Carvalho de Araújo, Margarete Carréra Bittencourt</v>
      </c>
      <c r="C11" s="24" t="str">
        <f>IFERROR(__xludf.DUMMYFUNCTION("""COMPUTED_VALUE"""),"Belém")</f>
        <v>Belém</v>
      </c>
      <c r="D11" s="24" t="str">
        <f>IFERROR(__xludf.DUMMYFUNCTION("""COMPUTED_VALUE"""),"UEPA")</f>
        <v>UEPA</v>
      </c>
      <c r="E11" s="25">
        <f>IFERROR(__xludf.DUMMYFUNCTION("""COMPUTED_VALUE"""),2019.0)</f>
        <v>2019</v>
      </c>
      <c r="F11" s="24" t="str">
        <f>IFERROR(__xludf.DUMMYFUNCTION("""COMPUTED_VALUE"""),"Enfermagem; Enfermagem – Estudo e ensino; Escola de Enfermagem")</f>
        <v>Enfermagem; Enfermagem – Estudo e ensino; Escola de Enfermagem</v>
      </c>
      <c r="G11" s="28" t="str">
        <f>IFERROR(__xludf.DUMMYFUNCTION("""COMPUTED_VALUE"""),"9788584580453")</f>
        <v>9788584580453</v>
      </c>
      <c r="H11" s="29" t="str">
        <f>IFERROR(__xludf.DUMMYFUNCTION("""COMPUTED_VALUE"""),"https://paginas.uepa.br/eduepa/wp-content/uploads/2019/12/pratica_humanizada_enfermagem.pdf")</f>
        <v>https://paginas.uepa.br/eduepa/wp-content/uploads/2019/12/pratica_humanizada_enfermagem.pdf</v>
      </c>
      <c r="I11" s="24" t="str">
        <f>IFERROR(__xludf.DUMMYFUNCTION("""COMPUTED_VALUE"""),"Ciências da Saúde")</f>
        <v>Ciências da Saúde</v>
      </c>
    </row>
    <row r="12">
      <c r="A12" s="24" t="str">
        <f>IFERROR(__xludf.DUMMYFUNCTION("""COMPUTED_VALUE"""),"Abordagens Geográfica da Vigilância, Prevenção e Promoção da Saúde")</f>
        <v>Abordagens Geográfica da Vigilância, Prevenção e Promoção da Saúde</v>
      </c>
      <c r="B12" s="24" t="str">
        <f>IFERROR(__xludf.DUMMYFUNCTION("""COMPUTED_VALUE"""),"Eduardo Augusto Werneck Ribeiro. Carolina Beceyro. Flávia de Oliveira Santos")</f>
        <v>Eduardo Augusto Werneck Ribeiro. Carolina Beceyro. Flávia de Oliveira Santos</v>
      </c>
      <c r="C12" s="24" t="str">
        <f>IFERROR(__xludf.DUMMYFUNCTION("""COMPUTED_VALUE"""),"Blumenau")</f>
        <v>Blumenau</v>
      </c>
      <c r="D12" s="24" t="str">
        <f>IFERROR(__xludf.DUMMYFUNCTION("""COMPUTED_VALUE"""),"Instituto Federal Catarinense")</f>
        <v>Instituto Federal Catarinense</v>
      </c>
      <c r="E12" s="25">
        <f>IFERROR(__xludf.DUMMYFUNCTION("""COMPUTED_VALUE"""),2019.0)</f>
        <v>2019</v>
      </c>
      <c r="F12" s="24" t="str">
        <f>IFERROR(__xludf.DUMMYFUNCTION("""COMPUTED_VALUE"""),"Saúde da família. Saúde Pública - Brasil. Agricultura - Saúde - Argentina. Migração. Saúde laboral")</f>
        <v>Saúde da família. Saúde Pública - Brasil. Agricultura - Saúde - Argentina. Migração. Saúde laboral</v>
      </c>
      <c r="G12" s="28" t="str">
        <f>IFERROR(__xludf.DUMMYFUNCTION("""COMPUTED_VALUE"""),"9788556440396")</f>
        <v>9788556440396</v>
      </c>
      <c r="H12" s="29" t="str">
        <f>IFERROR(__xludf.DUMMYFUNCTION("""COMPUTED_VALUE"""),"https://editora.ifc.edu.br/2019/09/04/abordagens-geografica-da-vigilancia-prevencao-e-promocao-da-saude-2/")</f>
        <v>https://editora.ifc.edu.br/2019/09/04/abordagens-geografica-da-vigilancia-prevencao-e-promocao-da-saude-2/</v>
      </c>
      <c r="I12" s="24" t="str">
        <f>IFERROR(__xludf.DUMMYFUNCTION("""COMPUTED_VALUE"""),"Ciências da Saúde")</f>
        <v>Ciências da Saúde</v>
      </c>
    </row>
    <row r="13">
      <c r="A13" s="24" t="str">
        <f>IFERROR(__xludf.DUMMYFUNCTION("""COMPUTED_VALUE"""),"Alimentação: problemas e soluções, a dieta primitiva")</f>
        <v>Alimentação: problemas e soluções, a dieta primitiva</v>
      </c>
      <c r="B13" s="24" t="str">
        <f>IFERROR(__xludf.DUMMYFUNCTION("""COMPUTED_VALUE"""),"Dalton Senise Portela")</f>
        <v>Dalton Senise Portela</v>
      </c>
      <c r="C13" s="24" t="str">
        <f>IFERROR(__xludf.DUMMYFUNCTION("""COMPUTED_VALUE"""),"Ilhéus, BA")</f>
        <v>Ilhéus, BA</v>
      </c>
      <c r="D13" s="24" t="str">
        <f>IFERROR(__xludf.DUMMYFUNCTION("""COMPUTED_VALUE"""),"Editus")</f>
        <v>Editus</v>
      </c>
      <c r="E13" s="25">
        <f>IFERROR(__xludf.DUMMYFUNCTION("""COMPUTED_VALUE"""),2006.0)</f>
        <v>2006</v>
      </c>
      <c r="F13" s="24" t="str">
        <f>IFERROR(__xludf.DUMMYFUNCTION("""COMPUTED_VALUE"""),"Dietética; Nutrição; Culinária; Alimentos")</f>
        <v>Dietética; Nutrição; Culinária; Alimentos</v>
      </c>
      <c r="G13" s="28" t="str">
        <f>IFERROR(__xludf.DUMMYFUNCTION("""COMPUTED_VALUE"""),"8574551201")</f>
        <v>8574551201</v>
      </c>
      <c r="H13" s="29" t="str">
        <f>IFERROR(__xludf.DUMMYFUNCTION("""COMPUTED_VALUE"""),"http://www.uesc.br/editora/livrosdigitais2015/alimentacao_problemas_e_solucoes.pdf")</f>
        <v>http://www.uesc.br/editora/livrosdigitais2015/alimentacao_problemas_e_solucoes.pdf</v>
      </c>
      <c r="I13" s="24" t="str">
        <f>IFERROR(__xludf.DUMMYFUNCTION("""COMPUTED_VALUE"""),"Ciências da Saúde")</f>
        <v>Ciências da Saúde</v>
      </c>
    </row>
    <row r="14">
      <c r="A14" s="24" t="str">
        <f>IFERROR(__xludf.DUMMYFUNCTION("""COMPUTED_VALUE"""),"Alzheimer, manual do cuidador: situações e cuidados práticos do cotidiano")</f>
        <v>Alzheimer, manual do cuidador: situações e cuidados práticos do cotidiano</v>
      </c>
      <c r="B14" s="24" t="str">
        <f>IFERROR(__xludf.DUMMYFUNCTION("""COMPUTED_VALUE"""),"Raimunda Silva d’Alencar, Evani Moreira Pedreira dos Santos, Joelma Batista Tebaldi Pinto. ")</f>
        <v>Raimunda Silva d’Alencar, Evani Moreira Pedreira dos Santos, Joelma Batista Tebaldi Pinto. </v>
      </c>
      <c r="C14" s="24" t="str">
        <f>IFERROR(__xludf.DUMMYFUNCTION("""COMPUTED_VALUE"""),"Ilhéus, BA")</f>
        <v>Ilhéus, BA</v>
      </c>
      <c r="D14" s="24" t="str">
        <f>IFERROR(__xludf.DUMMYFUNCTION("""COMPUTED_VALUE"""),"Editus")</f>
        <v>Editus</v>
      </c>
      <c r="E14" s="25">
        <f>IFERROR(__xludf.DUMMYFUNCTION("""COMPUTED_VALUE"""),2010.0)</f>
        <v>2010</v>
      </c>
      <c r="F14" s="24" t="str">
        <f>IFERROR(__xludf.DUMMYFUNCTION("""COMPUTED_VALUE"""),"Alzheimer, doença de – Pacientes – Cuidado e tratamento; Idosos – Cuidado e tratamento; Idosos – Relação com a família")</f>
        <v>Alzheimer, doença de – Pacientes – Cuidado e tratamento; Idosos – Cuidado e tratamento; Idosos – Relação com a família</v>
      </c>
      <c r="G14" s="28" t="str">
        <f>IFERROR(__xludf.DUMMYFUNCTION("""COMPUTED_VALUE"""),"9788574551999")</f>
        <v>9788574551999</v>
      </c>
      <c r="H14" s="29" t="str">
        <f>IFERROR(__xludf.DUMMYFUNCTION("""COMPUTED_VALUE"""),"http://www.uesc.br/editora/livrosdigitais2015/alzheimer_manual_cuidador.pdf")</f>
        <v>http://www.uesc.br/editora/livrosdigitais2015/alzheimer_manual_cuidador.pdf</v>
      </c>
      <c r="I14" s="24" t="str">
        <f>IFERROR(__xludf.DUMMYFUNCTION("""COMPUTED_VALUE"""),"Ciências da Saúde")</f>
        <v>Ciências da Saúde</v>
      </c>
    </row>
    <row r="15">
      <c r="A15" s="24" t="str">
        <f>IFERROR(__xludf.DUMMYFUNCTION("""COMPUTED_VALUE"""),"Anais do Seminário Estadual de Geografia da Saúde – 2018*")</f>
        <v>Anais do Seminário Estadual de Geografia da Saúde – 2018*</v>
      </c>
      <c r="B15" s="24" t="str">
        <f>IFERROR(__xludf.DUMMYFUNCTION("""COMPUTED_VALUE"""),"Eduardo Augusto Werneck Ribeiro")</f>
        <v>Eduardo Augusto Werneck Ribeiro</v>
      </c>
      <c r="C15" s="24" t="str">
        <f>IFERROR(__xludf.DUMMYFUNCTION("""COMPUTED_VALUE"""),"Blumenau")</f>
        <v>Blumenau</v>
      </c>
      <c r="D15" s="24" t="str">
        <f>IFERROR(__xludf.DUMMYFUNCTION("""COMPUTED_VALUE"""),"Instituto Federal Catarinense")</f>
        <v>Instituto Federal Catarinense</v>
      </c>
      <c r="E15" s="25">
        <f>IFERROR(__xludf.DUMMYFUNCTION("""COMPUTED_VALUE"""),2018.0)</f>
        <v>2018</v>
      </c>
      <c r="F15" s="24" t="str">
        <f>IFERROR(__xludf.DUMMYFUNCTION("""COMPUTED_VALUE"""),"Geografia da Saúde. Seminário. Desastres")</f>
        <v>Geografia da Saúde. Seminário. Desastres</v>
      </c>
      <c r="G15" s="28" t="str">
        <f>IFERROR(__xludf.DUMMYFUNCTION("""COMPUTED_VALUE"""),"9788556440204")</f>
        <v>9788556440204</v>
      </c>
      <c r="H15" s="29" t="str">
        <f>IFERROR(__xludf.DUMMYFUNCTION("""COMPUTED_VALUE"""),"https://editora.ifc.edu.br/2018/10/16/anais-do-seminario-estadual-de-geografia-da-saude-2018/")</f>
        <v>https://editora.ifc.edu.br/2018/10/16/anais-do-seminario-estadual-de-geografia-da-saude-2018/</v>
      </c>
      <c r="I15" s="24" t="str">
        <f>IFERROR(__xludf.DUMMYFUNCTION("""COMPUTED_VALUE"""),"Ciências da Saúde")</f>
        <v>Ciências da Saúde</v>
      </c>
    </row>
    <row r="16">
      <c r="A16" s="24" t="str">
        <f>IFERROR(__xludf.DUMMYFUNCTION("""COMPUTED_VALUE"""),"Análise da política de saúde brasileira")</f>
        <v>Análise da política de saúde brasileira</v>
      </c>
      <c r="B16" s="24" t="str">
        <f>IFERROR(__xludf.DUMMYFUNCTION("""COMPUTED_VALUE"""),"Maria Lúcia Teixeira Garcia (org.)")</f>
        <v>Maria Lúcia Teixeira Garcia (org.)</v>
      </c>
      <c r="C16" s="24" t="str">
        <f>IFERROR(__xludf.DUMMYFUNCTION("""COMPUTED_VALUE"""),"Vitória")</f>
        <v>Vitória</v>
      </c>
      <c r="D16" s="24" t="str">
        <f>IFERROR(__xludf.DUMMYFUNCTION("""COMPUTED_VALUE"""),"EDUFES")</f>
        <v>EDUFES</v>
      </c>
      <c r="E16" s="25">
        <f>IFERROR(__xludf.DUMMYFUNCTION("""COMPUTED_VALUE"""),2014.0)</f>
        <v>2014</v>
      </c>
      <c r="F16" s="24" t="str">
        <f>IFERROR(__xludf.DUMMYFUNCTION("""COMPUTED_VALUE"""),"Sistema único de sáude; Politica de saúde; Saúde no Brasil")</f>
        <v>Sistema único de sáude; Politica de saúde; Saúde no Brasil</v>
      </c>
      <c r="G16" s="28" t="str">
        <f>IFERROR(__xludf.DUMMYFUNCTION("""COMPUTED_VALUE"""),"9788577722426")</f>
        <v>9788577722426</v>
      </c>
      <c r="H16" s="29" t="str">
        <f>IFERROR(__xludf.DUMMYFUNCTION("""COMPUTED_VALUE"""),"http://repositorio.ufes.br/bitstream/10/1030/1/Livro%20edufes%20Analise%20da%20Politica%20de%20Saude%20Brasileira.pdf")</f>
        <v>http://repositorio.ufes.br/bitstream/10/1030/1/Livro%20edufes%20Analise%20da%20Politica%20de%20Saude%20Brasileira.pdf</v>
      </c>
      <c r="I16" s="24" t="str">
        <f>IFERROR(__xludf.DUMMYFUNCTION("""COMPUTED_VALUE"""),"Ciências da Saúde")</f>
        <v>Ciências da Saúde</v>
      </c>
    </row>
    <row r="17">
      <c r="A17" s="24" t="str">
        <f>IFERROR(__xludf.DUMMYFUNCTION("""COMPUTED_VALUE"""),"Análise de vida e saúde: Santa Bárbara, Criciúma/SC")</f>
        <v>Análise de vida e saúde: Santa Bárbara, Criciúma/SC</v>
      </c>
      <c r="B17" s="24" t="str">
        <f>IFERROR(__xludf.DUMMYFUNCTION("""COMPUTED_VALUE"""),"Soratto, Jacks; Ceretta, Luciane Bisognin")</f>
        <v>Soratto, Jacks; Ceretta, Luciane Bisognin</v>
      </c>
      <c r="C17" s="24" t="str">
        <f>IFERROR(__xludf.DUMMYFUNCTION("""COMPUTED_VALUE"""),"Criciúma")</f>
        <v>Criciúma</v>
      </c>
      <c r="D17" s="24" t="str">
        <f>IFERROR(__xludf.DUMMYFUNCTION("""COMPUTED_VALUE"""),"UNESC")</f>
        <v>UNESC</v>
      </c>
      <c r="E17" s="25">
        <f>IFERROR(__xludf.DUMMYFUNCTION("""COMPUTED_VALUE"""),2019.0)</f>
        <v>2019</v>
      </c>
      <c r="F17" s="24" t="str">
        <f>IFERROR(__xludf.DUMMYFUNCTION("""COMPUTED_VALUE"""),"Saúde pública – Santa Bárbara (Criciúma, SC); Sistema Único de Saúde (Brasil); Determinantes sociais da saúde; Qualidade de vida – Santa Bárbara (Criciúma, SC)")</f>
        <v>Saúde pública – Santa Bárbara (Criciúma, SC); Sistema Único de Saúde (Brasil); Determinantes sociais da saúde; Qualidade de vida – Santa Bárbara (Criciúma, SC)</v>
      </c>
      <c r="G17" s="28" t="str">
        <f>IFERROR(__xludf.DUMMYFUNCTION("""COMPUTED_VALUE"""),"9788584101252")</f>
        <v>9788584101252</v>
      </c>
      <c r="H17" s="29" t="str">
        <f>IFERROR(__xludf.DUMMYFUNCTION("""COMPUTED_VALUE"""),"http://dx.doi.org/10.18616/avs")</f>
        <v>http://dx.doi.org/10.18616/avs</v>
      </c>
      <c r="I17" s="24" t="str">
        <f>IFERROR(__xludf.DUMMYFUNCTION("""COMPUTED_VALUE"""),"Ciências da Saúde")</f>
        <v>Ciências da Saúde</v>
      </c>
    </row>
    <row r="18">
      <c r="A18" s="24" t="str">
        <f>IFERROR(__xludf.DUMMYFUNCTION("""COMPUTED_VALUE"""),"As razões da terapêutica: empirismo e racionalismo na medicina. ")</f>
        <v>As razões da terapêutica: empirismo e racionalismo na medicina. </v>
      </c>
      <c r="B18" s="24" t="str">
        <f>IFERROR(__xludf.DUMMYFUNCTION("""COMPUTED_VALUE"""),"Eduardo Vieira")</f>
        <v>Eduardo Vieira</v>
      </c>
      <c r="C18" s="24" t="str">
        <f>IFERROR(__xludf.DUMMYFUNCTION("""COMPUTED_VALUE"""),"Niterói, RJ")</f>
        <v>Niterói, RJ</v>
      </c>
      <c r="D18" s="24" t="str">
        <f>IFERROR(__xludf.DUMMYFUNCTION("""COMPUTED_VALUE"""),"EdUFF")</f>
        <v>EdUFF</v>
      </c>
      <c r="E18" s="25">
        <f>IFERROR(__xludf.DUMMYFUNCTION("""COMPUTED_VALUE"""),2001.0)</f>
        <v>2001</v>
      </c>
      <c r="F18" s="24" t="str">
        <f>IFERROR(__xludf.DUMMYFUNCTION("""COMPUTED_VALUE"""),"Medicina")</f>
        <v>Medicina</v>
      </c>
      <c r="G18" s="28" t="str">
        <f>IFERROR(__xludf.DUMMYFUNCTION("""COMPUTED_VALUE"""),"8522803455")</f>
        <v>8522803455</v>
      </c>
      <c r="H18" s="29" t="str">
        <f>IFERROR(__xludf.DUMMYFUNCTION("""COMPUTED_VALUE"""),"http://www.eduff.uff.br/ebooks/As-razoes-da-terapeutica.pdf")</f>
        <v>http://www.eduff.uff.br/ebooks/As-razoes-da-terapeutica.pdf</v>
      </c>
      <c r="I18" s="24" t="str">
        <f>IFERROR(__xludf.DUMMYFUNCTION("""COMPUTED_VALUE"""),"Ciências da Saúde")</f>
        <v>Ciências da Saúde</v>
      </c>
    </row>
    <row r="19">
      <c r="A19" s="24" t="str">
        <f>IFERROR(__xludf.DUMMYFUNCTION("""COMPUTED_VALUE"""),"Aspectos biopsicossociais do envelhecimento e a prevenção de quedas na terceira idade")</f>
        <v>Aspectos biopsicossociais do envelhecimento e a prevenção de quedas na terceira idade</v>
      </c>
      <c r="B19" s="24" t="str">
        <f>IFERROR(__xludf.DUMMYFUNCTION("""COMPUTED_VALUE"""),"Estélio Henrique Martin Dantas, César Augusto de Souza Santos")</f>
        <v>Estélio Henrique Martin Dantas, César Augusto de Souza Santos</v>
      </c>
      <c r="C19" s="24" t="str">
        <f>IFERROR(__xludf.DUMMYFUNCTION("""COMPUTED_VALUE"""),"Joaçaba")</f>
        <v>Joaçaba</v>
      </c>
      <c r="D19" s="24" t="str">
        <f>IFERROR(__xludf.DUMMYFUNCTION("""COMPUTED_VALUE"""),"Unoesc")</f>
        <v>Unoesc</v>
      </c>
      <c r="E19" s="25">
        <f>IFERROR(__xludf.DUMMYFUNCTION("""COMPUTED_VALUE"""),2017.0)</f>
        <v>2017</v>
      </c>
      <c r="F19" s="24" t="str">
        <f>IFERROR(__xludf.DUMMYFUNCTION("""COMPUTED_VALUE"""),"Envelhecimento – Aspectos fisiológicos; Quedas (Acidentes) em Idosos")</f>
        <v>Envelhecimento – Aspectos fisiológicos; Quedas (Acidentes) em Idosos</v>
      </c>
      <c r="G19" s="28" t="str">
        <f>IFERROR(__xludf.DUMMYFUNCTION("""COMPUTED_VALUE"""),"9788584221455")</f>
        <v>9788584221455</v>
      </c>
      <c r="H19" s="29" t="str">
        <f>IFERROR(__xludf.DUMMYFUNCTION("""COMPUTED_VALUE"""),"https://www.unoesc.edu.br/images/uploads/editora/Aspectos_Biopsicossociais_do_envelhecimento.pdf")</f>
        <v>https://www.unoesc.edu.br/images/uploads/editora/Aspectos_Biopsicossociais_do_envelhecimento.pdf</v>
      </c>
      <c r="I19" s="24" t="str">
        <f>IFERROR(__xludf.DUMMYFUNCTION("""COMPUTED_VALUE"""),"Ciências da Saúde")</f>
        <v>Ciências da Saúde</v>
      </c>
    </row>
    <row r="20">
      <c r="A20" s="24" t="str">
        <f>IFERROR(__xludf.DUMMYFUNCTION("""COMPUTED_VALUE"""),"Aspectos farmacológicos de distúrbios cardio-metabólicos ")</f>
        <v>Aspectos farmacológicos de distúrbios cardio-metabólicos </v>
      </c>
      <c r="B20" s="24" t="str">
        <f>IFERROR(__xludf.DUMMYFUNCTION("""COMPUTED_VALUE"""),"rganizadores: Cândida Aparecida Leite Kassuya, Frederico Somaio Neto")</f>
        <v>rganizadores: Cândida Aparecida Leite Kassuya, Frederico Somaio Neto</v>
      </c>
      <c r="C20" s="24" t="str">
        <f>IFERROR(__xludf.DUMMYFUNCTION("""COMPUTED_VALUE"""),"Dourados, MS")</f>
        <v>Dourados, MS</v>
      </c>
      <c r="D20" s="24" t="str">
        <f>IFERROR(__xludf.DUMMYFUNCTION("""COMPUTED_VALUE"""),"Ed. UFGD")</f>
        <v>Ed. UFGD</v>
      </c>
      <c r="E20" s="25">
        <f>IFERROR(__xludf.DUMMYFUNCTION("""COMPUTED_VALUE"""),2015.0)</f>
        <v>2015</v>
      </c>
      <c r="F20" s="24" t="str">
        <f>IFERROR(__xludf.DUMMYFUNCTION("""COMPUTED_VALUE"""),"Farmacologia; Antihipertensivos; Diuréticos")</f>
        <v>Farmacologia; Antihipertensivos; Diuréticos</v>
      </c>
      <c r="G20" s="28" t="str">
        <f>IFERROR(__xludf.DUMMYFUNCTION("""COMPUTED_VALUE"""),"9788581471099")</f>
        <v>9788581471099</v>
      </c>
      <c r="H20" s="29" t="str">
        <f>IFERROR(__xludf.DUMMYFUNCTION("""COMPUTED_VALUE"""),"http://omp.ufgd.edu.br/omp/index.php/livrosabertos/catalog/view/216/136/416-1")</f>
        <v>http://omp.ufgd.edu.br/omp/index.php/livrosabertos/catalog/view/216/136/416-1</v>
      </c>
      <c r="I20" s="24" t="str">
        <f>IFERROR(__xludf.DUMMYFUNCTION("""COMPUTED_VALUE"""),"Ciências da Saúde")</f>
        <v>Ciências da Saúde</v>
      </c>
    </row>
    <row r="21">
      <c r="A21" s="24" t="str">
        <f>IFERROR(__xludf.DUMMYFUNCTION("""COMPUTED_VALUE"""),"Aspectos gerais da inflamação e da dor")</f>
        <v>Aspectos gerais da inflamação e da dor</v>
      </c>
      <c r="B21" s="24" t="str">
        <f>IFERROR(__xludf.DUMMYFUNCTION("""COMPUTED_VALUE"""),"organizadora: Cândida Aparecida Leite Kassuya")</f>
        <v>organizadora: Cândida Aparecida Leite Kassuya</v>
      </c>
      <c r="C21" s="24" t="str">
        <f>IFERROR(__xludf.DUMMYFUNCTION("""COMPUTED_VALUE"""),"Dourados, MS")</f>
        <v>Dourados, MS</v>
      </c>
      <c r="D21" s="24" t="str">
        <f>IFERROR(__xludf.DUMMYFUNCTION("""COMPUTED_VALUE"""),"Ed. UFGD")</f>
        <v>Ed. UFGD</v>
      </c>
      <c r="E21" s="25">
        <f>IFERROR(__xludf.DUMMYFUNCTION("""COMPUTED_VALUE"""),2013.0)</f>
        <v>2013</v>
      </c>
      <c r="F21" s="24" t="str">
        <f>IFERROR(__xludf.DUMMYFUNCTION("""COMPUTED_VALUE"""),"Inflamação; Fármacos; Analgésicos")</f>
        <v>Inflamação; Fármacos; Analgésicos</v>
      </c>
      <c r="G21" s="28" t="str">
        <f>IFERROR(__xludf.DUMMYFUNCTION("""COMPUTED_VALUE"""),"9788581470726")</f>
        <v>9788581470726</v>
      </c>
      <c r="H21" s="29" t="str">
        <f>IFERROR(__xludf.DUMMYFUNCTION("""COMPUTED_VALUE"""),"http://omp.ufgd.edu.br/omp/index.php/livrosabertos/catalog/view/217/135/514-1")</f>
        <v>http://omp.ufgd.edu.br/omp/index.php/livrosabertos/catalog/view/217/135/514-1</v>
      </c>
      <c r="I21" s="24" t="str">
        <f>IFERROR(__xludf.DUMMYFUNCTION("""COMPUTED_VALUE"""),"Ciências da Saúde")</f>
        <v>Ciências da Saúde</v>
      </c>
    </row>
    <row r="22">
      <c r="A22" s="24" t="str">
        <f>IFERROR(__xludf.DUMMYFUNCTION("""COMPUTED_VALUE"""),"Aspectos Históricos do Uso Terapêutico de Produtos e Excreções Humanas")</f>
        <v>Aspectos Históricos do Uso Terapêutico de Produtos e Excreções Humanas</v>
      </c>
      <c r="B22" s="24" t="str">
        <f>IFERROR(__xludf.DUMMYFUNCTION("""COMPUTED_VALUE"""),"Argus Vasconcelos de Almeida")</f>
        <v>Argus Vasconcelos de Almeida</v>
      </c>
      <c r="C22" s="24" t="str">
        <f>IFERROR(__xludf.DUMMYFUNCTION("""COMPUTED_VALUE"""),"Recife")</f>
        <v>Recife</v>
      </c>
      <c r="D22" s="24" t="str">
        <f>IFERROR(__xludf.DUMMYFUNCTION("""COMPUTED_VALUE"""),"Editora Universitária da UFRPE")</f>
        <v>Editora Universitária da UFRPE</v>
      </c>
      <c r="E22" s="25">
        <f>IFERROR(__xludf.DUMMYFUNCTION("""COMPUTED_VALUE"""),2012.0)</f>
        <v>2012</v>
      </c>
      <c r="F22" s="24" t="str">
        <f>IFERROR(__xludf.DUMMYFUNCTION("""COMPUTED_VALUE"""),"Polyanthea medicinal; Erário mineral; Medicina; Medicina popular")</f>
        <v>Polyanthea medicinal; Erário mineral; Medicina; Medicina popular</v>
      </c>
      <c r="G22" s="26"/>
      <c r="H22" s="29" t="str">
        <f>IFERROR(__xludf.DUMMYFUNCTION("""COMPUTED_VALUE"""),"https://www.dropbox.com/s/00fp1j1qok0y3ah/Excrementos.pdf?dl=0")</f>
        <v>https://www.dropbox.com/s/00fp1j1qok0y3ah/Excrementos.pdf?dl=0</v>
      </c>
      <c r="I22" s="24" t="str">
        <f>IFERROR(__xludf.DUMMYFUNCTION("""COMPUTED_VALUE"""),"Ciências da Saúde")</f>
        <v>Ciências da Saúde</v>
      </c>
    </row>
    <row r="23">
      <c r="A23" s="24" t="str">
        <f>IFERROR(__xludf.DUMMYFUNCTION("""COMPUTED_VALUE"""),"Assistência Farmacêutica no Brasil - Política, Gestão e Clínica Vol. I Políticas de saúde e acesso a medicamentos")</f>
        <v>Assistência Farmacêutica no Brasil - Política, Gestão e Clínica Vol. I Políticas de saúde e acesso a medicamentos</v>
      </c>
      <c r="B23" s="24" t="str">
        <f>IFERROR(__xludf.DUMMYFUNCTION("""COMPUTED_VALUE"""),"Santos, Rosana Isabel dos; Farias, Mareni Rocha;Pupo, Guilherme Daniel;Trindade, Mônica Cristina Nunes da;Dutra, Fabíola Farias (org.)")</f>
        <v>Santos, Rosana Isabel dos; Farias, Mareni Rocha;Pupo, Guilherme Daniel;Trindade, Mônica Cristina Nunes da;Dutra, Fabíola Farias (org.)</v>
      </c>
      <c r="C23" s="24" t="str">
        <f>IFERROR(__xludf.DUMMYFUNCTION("""COMPUTED_VALUE"""),"Florianópolis")</f>
        <v>Florianópolis</v>
      </c>
      <c r="D23" s="24" t="str">
        <f>IFERROR(__xludf.DUMMYFUNCTION("""COMPUTED_VALUE"""),"Editora da UFSC")</f>
        <v>Editora da UFSC</v>
      </c>
      <c r="E23" s="25">
        <f>IFERROR(__xludf.DUMMYFUNCTION("""COMPUTED_VALUE"""),2016.0)</f>
        <v>2016</v>
      </c>
      <c r="F23" s="24" t="str">
        <f>IFERROR(__xludf.DUMMYFUNCTION("""COMPUTED_VALUE"""),"Farmácia;Saúde;Política farmacêutica")</f>
        <v>Farmácia;Saúde;Política farmacêutica</v>
      </c>
      <c r="G23" s="28" t="str">
        <f>IFERROR(__xludf.DUMMYFUNCTION("""COMPUTED_VALUE"""),"9788532807649")</f>
        <v>9788532807649</v>
      </c>
      <c r="H23" s="29" t="str">
        <f>IFERROR(__xludf.DUMMYFUNCTION("""COMPUTED_VALUE"""),"https://repositorio.ufsc.br/handle/123456789/187549")</f>
        <v>https://repositorio.ufsc.br/handle/123456789/187549</v>
      </c>
      <c r="I23" s="24" t="str">
        <f>IFERROR(__xludf.DUMMYFUNCTION("""COMPUTED_VALUE"""),"Ciências da Saúde")</f>
        <v>Ciências da Saúde</v>
      </c>
    </row>
    <row r="24">
      <c r="A24" s="24" t="str">
        <f>IFERROR(__xludf.DUMMYFUNCTION("""COMPUTED_VALUE"""),"Assistência Farmacêutica no Brasil - Política, Gestão e Clínica Vol. II Gestão da assistência farmacêutica")</f>
        <v>Assistência Farmacêutica no Brasil - Política, Gestão e Clínica Vol. II Gestão da assistência farmacêutica</v>
      </c>
      <c r="B24" s="24" t="str">
        <f>IFERROR(__xludf.DUMMYFUNCTION("""COMPUTED_VALUE"""),"Leite, Silvana Nair; Soares, Luciano;Mendes, Samara Jamile;Vilvert, André Felipe;Schneider, Luciana Mendes Corrêa (org.)")</f>
        <v>Leite, Silvana Nair; Soares, Luciano;Mendes, Samara Jamile;Vilvert, André Felipe;Schneider, Luciana Mendes Corrêa (org.)</v>
      </c>
      <c r="C24" s="24" t="str">
        <f>IFERROR(__xludf.DUMMYFUNCTION("""COMPUTED_VALUE"""),"Florianópolis")</f>
        <v>Florianópolis</v>
      </c>
      <c r="D24" s="24" t="str">
        <f>IFERROR(__xludf.DUMMYFUNCTION("""COMPUTED_VALUE"""),"Editora da UFSC")</f>
        <v>Editora da UFSC</v>
      </c>
      <c r="E24" s="25">
        <f>IFERROR(__xludf.DUMMYFUNCTION("""COMPUTED_VALUE"""),2016.0)</f>
        <v>2016</v>
      </c>
      <c r="F24" s="24" t="str">
        <f>IFERROR(__xludf.DUMMYFUNCTION("""COMPUTED_VALUE"""),"Farmácia;Política farmacêutica;Saúde")</f>
        <v>Farmácia;Política farmacêutica;Saúde</v>
      </c>
      <c r="G24" s="28" t="str">
        <f>IFERROR(__xludf.DUMMYFUNCTION("""COMPUTED_VALUE"""),"9788532807656")</f>
        <v>9788532807656</v>
      </c>
      <c r="H24" s="29" t="str">
        <f>IFERROR(__xludf.DUMMYFUNCTION("""COMPUTED_VALUE"""),"https://repositorio.ufsc.br/handle/123456789/187550")</f>
        <v>https://repositorio.ufsc.br/handle/123456789/187550</v>
      </c>
      <c r="I24" s="24" t="str">
        <f>IFERROR(__xludf.DUMMYFUNCTION("""COMPUTED_VALUE"""),"Ciências da Saúde")</f>
        <v>Ciências da Saúde</v>
      </c>
    </row>
    <row r="25">
      <c r="A25" s="24" t="str">
        <f>IFERROR(__xludf.DUMMYFUNCTION("""COMPUTED_VALUE"""),"Assistência Farmacêutica no Brasil - Política, Gestão e Clínica Vol. III Seleção de medicamentos")</f>
        <v>Assistência Farmacêutica no Brasil - Política, Gestão e Clínica Vol. III Seleção de medicamentos</v>
      </c>
      <c r="B25" s="24" t="str">
        <f>IFERROR(__xludf.DUMMYFUNCTION("""COMPUTED_VALUE"""),"Farias, Mareni Rocha; Diehl, Eliana Elisabeth;Buendgens, Fabíola Bagatini;Peres, Kaite Cristiane;Storb, Bernd Heinrich (org.)")</f>
        <v>Farias, Mareni Rocha; Diehl, Eliana Elisabeth;Buendgens, Fabíola Bagatini;Peres, Kaite Cristiane;Storb, Bernd Heinrich (org.)</v>
      </c>
      <c r="C25" s="24" t="str">
        <f>IFERROR(__xludf.DUMMYFUNCTION("""COMPUTED_VALUE"""),"Florianópolis")</f>
        <v>Florianópolis</v>
      </c>
      <c r="D25" s="24" t="str">
        <f>IFERROR(__xludf.DUMMYFUNCTION("""COMPUTED_VALUE"""),"Editora da UFSC")</f>
        <v>Editora da UFSC</v>
      </c>
      <c r="E25" s="25">
        <f>IFERROR(__xludf.DUMMYFUNCTION("""COMPUTED_VALUE"""),2016.0)</f>
        <v>2016</v>
      </c>
      <c r="F25" s="24" t="str">
        <f>IFERROR(__xludf.DUMMYFUNCTION("""COMPUTED_VALUE"""),"Farmácia;Saúde;Política farmacêutica")</f>
        <v>Farmácia;Saúde;Política farmacêutica</v>
      </c>
      <c r="G25" s="28" t="str">
        <f>IFERROR(__xludf.DUMMYFUNCTION("""COMPUTED_VALUE"""),"9788532807663")</f>
        <v>9788532807663</v>
      </c>
      <c r="H25" s="29" t="str">
        <f>IFERROR(__xludf.DUMMYFUNCTION("""COMPUTED_VALUE"""),"https://repositorio.ufsc.br/handle/123456789/187551")</f>
        <v>https://repositorio.ufsc.br/handle/123456789/187551</v>
      </c>
      <c r="I25" s="24" t="str">
        <f>IFERROR(__xludf.DUMMYFUNCTION("""COMPUTED_VALUE"""),"Ciências da Saúde")</f>
        <v>Ciências da Saúde</v>
      </c>
    </row>
    <row r="26">
      <c r="A26" s="24" t="str">
        <f>IFERROR(__xludf.DUMMYFUNCTION("""COMPUTED_VALUE"""),"Assistência Farmacêutica no Brasil - Política, Gestão e Clínica Vol. IV Logística de medicamentos")</f>
        <v>Assistência Farmacêutica no Brasil - Política, Gestão e Clínica Vol. IV Logística de medicamentos</v>
      </c>
      <c r="B26" s="24" t="str">
        <f>IFERROR(__xludf.DUMMYFUNCTION("""COMPUTED_VALUE"""),"Diehl, Eliana Elisabeth; Santos, Rosana Isabel dos;Schaefer, Simone da Cruz (org.)")</f>
        <v>Diehl, Eliana Elisabeth; Santos, Rosana Isabel dos;Schaefer, Simone da Cruz (org.)</v>
      </c>
      <c r="C26" s="24" t="str">
        <f>IFERROR(__xludf.DUMMYFUNCTION("""COMPUTED_VALUE"""),"Florianópolis")</f>
        <v>Florianópolis</v>
      </c>
      <c r="D26" s="24" t="str">
        <f>IFERROR(__xludf.DUMMYFUNCTION("""COMPUTED_VALUE"""),"Editora da UFSC")</f>
        <v>Editora da UFSC</v>
      </c>
      <c r="E26" s="25">
        <f>IFERROR(__xludf.DUMMYFUNCTION("""COMPUTED_VALUE"""),2016.0)</f>
        <v>2016</v>
      </c>
      <c r="F26" s="24" t="str">
        <f>IFERROR(__xludf.DUMMYFUNCTION("""COMPUTED_VALUE"""),"Farmácia;Política farmacêutica;Saúde")</f>
        <v>Farmácia;Política farmacêutica;Saúde</v>
      </c>
      <c r="G26" s="28" t="str">
        <f>IFERROR(__xludf.DUMMYFUNCTION("""COMPUTED_VALUE"""),"9788532807670")</f>
        <v>9788532807670</v>
      </c>
      <c r="H26" s="29" t="str">
        <f>IFERROR(__xludf.DUMMYFUNCTION("""COMPUTED_VALUE"""),"https://repositorio.ufsc.br/handle/123456789/187552")</f>
        <v>https://repositorio.ufsc.br/handle/123456789/187552</v>
      </c>
      <c r="I26" s="24" t="str">
        <f>IFERROR(__xludf.DUMMYFUNCTION("""COMPUTED_VALUE"""),"Ciências da Saúde")</f>
        <v>Ciências da Saúde</v>
      </c>
    </row>
    <row r="27">
      <c r="A27" s="24" t="str">
        <f>IFERROR(__xludf.DUMMYFUNCTION("""COMPUTED_VALUE"""),"Assistência Farmacêutica no Brasil - Política, Gestão e Clínica Vol. V Atuação clínica do farmacêutico")</f>
        <v>Assistência Farmacêutica no Brasil - Política, Gestão e Clínica Vol. V Atuação clínica do farmacêutico</v>
      </c>
      <c r="B27" s="24" t="str">
        <f>IFERROR(__xludf.DUMMYFUNCTION("""COMPUTED_VALUE"""),"Soares, Luciano; Farias, Mareni Rocha;Leite, Silvana Nair;Campese, Marcelo;Manzini, Fernanda (org.)")</f>
        <v>Soares, Luciano; Farias, Mareni Rocha;Leite, Silvana Nair;Campese, Marcelo;Manzini, Fernanda (org.)</v>
      </c>
      <c r="C27" s="24" t="str">
        <f>IFERROR(__xludf.DUMMYFUNCTION("""COMPUTED_VALUE"""),"Florianópolis")</f>
        <v>Florianópolis</v>
      </c>
      <c r="D27" s="24" t="str">
        <f>IFERROR(__xludf.DUMMYFUNCTION("""COMPUTED_VALUE"""),"Editora da UFSC")</f>
        <v>Editora da UFSC</v>
      </c>
      <c r="E27" s="25">
        <f>IFERROR(__xludf.DUMMYFUNCTION("""COMPUTED_VALUE"""),2016.0)</f>
        <v>2016</v>
      </c>
      <c r="F27" s="24" t="str">
        <f>IFERROR(__xludf.DUMMYFUNCTION("""COMPUTED_VALUE"""),"Farmácia;Política farmacêutica;Saúde")</f>
        <v>Farmácia;Política farmacêutica;Saúde</v>
      </c>
      <c r="G27" s="28" t="str">
        <f>IFERROR(__xludf.DUMMYFUNCTION("""COMPUTED_VALUE"""),"9788532807687")</f>
        <v>9788532807687</v>
      </c>
      <c r="H27" s="29" t="str">
        <f>IFERROR(__xludf.DUMMYFUNCTION("""COMPUTED_VALUE"""),"https://repositorio.ufsc.br/handle/123456789/187553")</f>
        <v>https://repositorio.ufsc.br/handle/123456789/187553</v>
      </c>
      <c r="I27" s="24" t="str">
        <f>IFERROR(__xludf.DUMMYFUNCTION("""COMPUTED_VALUE"""),"Ciências da Saúde")</f>
        <v>Ciências da Saúde</v>
      </c>
    </row>
    <row r="28">
      <c r="A28" s="24" t="str">
        <f>IFERROR(__xludf.DUMMYFUNCTION("""COMPUTED_VALUE"""),"Atenção à Saúde da Pessoa Idosa e a Covid-19")</f>
        <v>Atenção à Saúde da Pessoa Idosa e a Covid-19</v>
      </c>
      <c r="B28" s="24" t="str">
        <f>IFERROR(__xludf.DUMMYFUNCTION("""COMPUTED_VALUE"""),"Nayana Pinheiro e Daniele Vieira (org.)")</f>
        <v>Nayana Pinheiro e Daniele Vieira (org.)</v>
      </c>
      <c r="C28" s="24" t="str">
        <f>IFERROR(__xludf.DUMMYFUNCTION("""COMPUTED_VALUE"""),"Recife")</f>
        <v>Recife</v>
      </c>
      <c r="D28" s="24" t="str">
        <f>IFERROR(__xludf.DUMMYFUNCTION("""COMPUTED_VALUE"""),"Editora Universitária da UFRPE")</f>
        <v>Editora Universitária da UFRPE</v>
      </c>
      <c r="E28" s="25">
        <f>IFERROR(__xludf.DUMMYFUNCTION("""COMPUTED_VALUE"""),2020.0)</f>
        <v>2020</v>
      </c>
      <c r="F28" s="24" t="str">
        <f>IFERROR(__xludf.DUMMYFUNCTION("""COMPUTED_VALUE"""),"Promoção da saúde; Vírus; Idosos; Covid-19; Epidemias")</f>
        <v>Promoção da saúde; Vírus; Idosos; Covid-19; Epidemias</v>
      </c>
      <c r="G28" s="28" t="str">
        <f>IFERROR(__xludf.DUMMYFUNCTION("""COMPUTED_VALUE"""),"9786586547030")</f>
        <v>9786586547030</v>
      </c>
      <c r="H28" s="29" t="str">
        <f>IFERROR(__xludf.DUMMYFUNCTION("""COMPUTED_VALUE"""),"https://www.repository.ufrpe.br/handle/123456789/2332")</f>
        <v>https://www.repository.ufrpe.br/handle/123456789/2332</v>
      </c>
      <c r="I28" s="24" t="str">
        <f>IFERROR(__xludf.DUMMYFUNCTION("""COMPUTED_VALUE"""),"Ciências da Saúde")</f>
        <v>Ciências da Saúde</v>
      </c>
    </row>
    <row r="29">
      <c r="A29" s="24" t="str">
        <f>IFERROR(__xludf.DUMMYFUNCTION("""COMPUTED_VALUE"""),"Atualidades e Perspectivas em Neurociências (Disponível temporariamente)")</f>
        <v>Atualidades e Perspectivas em Neurociências (Disponível temporariamente)</v>
      </c>
      <c r="B29" s="24" t="str">
        <f>IFERROR(__xludf.DUMMYFUNCTION("""COMPUTED_VALUE"""),"Marine Raquel Diniz da Rosa, Mirian G. S. Stiebbe Salvadori, Suellen Marinho Andrade, (organizadoras)")</f>
        <v>Marine Raquel Diniz da Rosa, Mirian G. S. Stiebbe Salvadori, Suellen Marinho Andrade, (organizadoras)</v>
      </c>
      <c r="C29" s="24" t="str">
        <f>IFERROR(__xludf.DUMMYFUNCTION("""COMPUTED_VALUE"""),"João Pessoa")</f>
        <v>João Pessoa</v>
      </c>
      <c r="D29" s="24" t="str">
        <f>IFERROR(__xludf.DUMMYFUNCTION("""COMPUTED_VALUE"""),"Editora da UFPB")</f>
        <v>Editora da UFPB</v>
      </c>
      <c r="E29" s="25">
        <f>IFERROR(__xludf.DUMMYFUNCTION("""COMPUTED_VALUE"""),2018.0)</f>
        <v>2018</v>
      </c>
      <c r="F29" s="24" t="str">
        <f>IFERROR(__xludf.DUMMYFUNCTION("""COMPUTED_VALUE"""),"Neurociência; Neuroestimulação; Transtornos mentais; Aspectos neurobiológicos")</f>
        <v>Neurociência; Neuroestimulação; Transtornos mentais; Aspectos neurobiológicos</v>
      </c>
      <c r="G29" s="28" t="str">
        <f>IFERROR(__xludf.DUMMYFUNCTION("""COMPUTED_VALUE"""),"9788523713300")</f>
        <v>9788523713300</v>
      </c>
      <c r="H29" s="29" t="str">
        <f>IFERROR(__xludf.DUMMYFUNCTION("""COMPUTED_VALUE"""),"http://www.editora.ufpb.br/sistema/press5/index.php/UFPB/catalog/book/508")</f>
        <v>http://www.editora.ufpb.br/sistema/press5/index.php/UFPB/catalog/book/508</v>
      </c>
      <c r="I29" s="24" t="str">
        <f>IFERROR(__xludf.DUMMYFUNCTION("""COMPUTED_VALUE"""),"Ciências da Saúde")</f>
        <v>Ciências da Saúde</v>
      </c>
    </row>
    <row r="30">
      <c r="A30" s="24" t="str">
        <f>IFERROR(__xludf.DUMMYFUNCTION("""COMPUTED_VALUE"""),"Auditoria em enfermagem: uma proposta metodológica ")</f>
        <v>Auditoria em enfermagem: uma proposta metodológica </v>
      </c>
      <c r="B30" s="24" t="str">
        <f>IFERROR(__xludf.DUMMYFUNCTION("""COMPUTED_VALUE"""),"Ricardo Matos Santana, Verônica Gonçalves da Silva")</f>
        <v>Ricardo Matos Santana, Verônica Gonçalves da Silva</v>
      </c>
      <c r="C30" s="24" t="str">
        <f>IFERROR(__xludf.DUMMYFUNCTION("""COMPUTED_VALUE"""),"Ilhéus, BA")</f>
        <v>Ilhéus, BA</v>
      </c>
      <c r="D30" s="24" t="str">
        <f>IFERROR(__xludf.DUMMYFUNCTION("""COMPUTED_VALUE"""),"Editus")</f>
        <v>Editus</v>
      </c>
      <c r="E30" s="25">
        <f>IFERROR(__xludf.DUMMYFUNCTION("""COMPUTED_VALUE"""),2009.0)</f>
        <v>2009</v>
      </c>
      <c r="F30" s="24" t="str">
        <f>IFERROR(__xludf.DUMMYFUNCTION("""COMPUTED_VALUE"""),"Serviços de enfermagem – Auditoria; Serviços de; enfermagem – Administração")</f>
        <v>Serviços de enfermagem – Auditoria; Serviços de; enfermagem – Administração</v>
      </c>
      <c r="G30" s="28" t="str">
        <f>IFERROR(__xludf.DUMMYFUNCTION("""COMPUTED_VALUE"""),"9788574551524")</f>
        <v>9788574551524</v>
      </c>
      <c r="H30" s="29" t="str">
        <f>IFERROR(__xludf.DUMMYFUNCTION("""COMPUTED_VALUE"""),"http://www.uesc.br/editora/livrosdigitais2/auditoria_em_enfermagem.pdf")</f>
        <v>http://www.uesc.br/editora/livrosdigitais2/auditoria_em_enfermagem.pdf</v>
      </c>
      <c r="I30" s="24" t="str">
        <f>IFERROR(__xludf.DUMMYFUNCTION("""COMPUTED_VALUE"""),"Ciências da Saúde")</f>
        <v>Ciências da Saúde</v>
      </c>
    </row>
    <row r="31">
      <c r="A31" s="24" t="str">
        <f>IFERROR(__xludf.DUMMYFUNCTION("""COMPUTED_VALUE"""),"Avanços da Pesquisa em Imunologia na Bahia 30 Anos de contribuição do Programa de Pós-Graduação em Imunologia da UFBA")</f>
        <v>Avanços da Pesquisa em Imunologia na Bahia 30 Anos de contribuição do Programa de Pós-Graduação em Imunologia da UFBA</v>
      </c>
      <c r="B31" s="24" t="str">
        <f>IFERROR(__xludf.DUMMYFUNCTION("""COMPUTED_VALUE"""),"Silvia Lima Costa, organizadora")</f>
        <v>Silvia Lima Costa, organizadora</v>
      </c>
      <c r="C31" s="24" t="str">
        <f>IFERROR(__xludf.DUMMYFUNCTION("""COMPUTED_VALUE"""),"Salvador")</f>
        <v>Salvador</v>
      </c>
      <c r="D31" s="24" t="str">
        <f>IFERROR(__xludf.DUMMYFUNCTION("""COMPUTED_VALUE"""),"EDUFBA")</f>
        <v>EDUFBA</v>
      </c>
      <c r="E31" s="25">
        <f>IFERROR(__xludf.DUMMYFUNCTION("""COMPUTED_VALUE"""),2019.0)</f>
        <v>2019</v>
      </c>
      <c r="F31" s="24" t="str">
        <f>IFERROR(__xludf.DUMMYFUNCTION("""COMPUTED_VALUE"""),"Pesquisa imunológica; Imunologia; Pós-graduação")</f>
        <v>Pesquisa imunológica; Imunologia; Pós-graduação</v>
      </c>
      <c r="G31" s="28" t="str">
        <f>IFERROR(__xludf.DUMMYFUNCTION("""COMPUTED_VALUE"""),"9788523219635")</f>
        <v>9788523219635</v>
      </c>
      <c r="H31" s="29" t="str">
        <f>IFERROR(__xludf.DUMMYFUNCTION("""COMPUTED_VALUE"""),"http://repositorio.ufba.br/ri/handle/ri/30950")</f>
        <v>http://repositorio.ufba.br/ri/handle/ri/30950</v>
      </c>
      <c r="I31" s="24" t="str">
        <f>IFERROR(__xludf.DUMMYFUNCTION("""COMPUTED_VALUE"""),"Ciências da Saúde")</f>
        <v>Ciências da Saúde</v>
      </c>
    </row>
    <row r="32">
      <c r="A32" s="24" t="str">
        <f>IFERROR(__xludf.DUMMYFUNCTION("""COMPUTED_VALUE"""),"Bebidas alcoólicas no município de Vitória: reflexões sobre mecanismos de prevenção ao consumo de álcool")</f>
        <v>Bebidas alcoólicas no município de Vitória: reflexões sobre mecanismos de prevenção ao consumo de álcool</v>
      </c>
      <c r="B32" s="24" t="str">
        <f>IFERROR(__xludf.DUMMYFUNCTION("""COMPUTED_VALUE"""),"Maria Lúcia Teixeira Garcia, Mirian Cátia Vieira Basílio")</f>
        <v>Maria Lúcia Teixeira Garcia, Mirian Cátia Vieira Basílio</v>
      </c>
      <c r="C32" s="24" t="str">
        <f>IFERROR(__xludf.DUMMYFUNCTION("""COMPUTED_VALUE"""),"Vitória")</f>
        <v>Vitória</v>
      </c>
      <c r="D32" s="24" t="str">
        <f>IFERROR(__xludf.DUMMYFUNCTION("""COMPUTED_VALUE"""),"EDUFES")</f>
        <v>EDUFES</v>
      </c>
      <c r="E32" s="25">
        <f>IFERROR(__xludf.DUMMYFUNCTION("""COMPUTED_VALUE"""),2013.0)</f>
        <v>2013</v>
      </c>
      <c r="F32" s="24" t="str">
        <f>IFERROR(__xludf.DUMMYFUNCTION("""COMPUTED_VALUE"""),"Bebidas alcoolicas; Políticas públicas; Comércio de bebidas; Alcoolismo")</f>
        <v>Bebidas alcoolicas; Políticas públicas; Comércio de bebidas; Alcoolismo</v>
      </c>
      <c r="G32" s="28" t="str">
        <f>IFERROR(__xludf.DUMMYFUNCTION("""COMPUTED_VALUE"""),"9788577721696")</f>
        <v>9788577721696</v>
      </c>
      <c r="H32" s="29" t="str">
        <f>IFERROR(__xludf.DUMMYFUNCTION("""COMPUTED_VALUE"""),"http://repositorio.ufes.br/handle/10/824")</f>
        <v>http://repositorio.ufes.br/handle/10/824</v>
      </c>
      <c r="I32" s="24" t="str">
        <f>IFERROR(__xludf.DUMMYFUNCTION("""COMPUTED_VALUE"""),"Ciências da Saúde")</f>
        <v>Ciências da Saúde</v>
      </c>
    </row>
    <row r="33">
      <c r="A33" s="24" t="str">
        <f>IFERROR(__xludf.DUMMYFUNCTION("""COMPUTED_VALUE"""),"Bioestatística aplicada ao movimento humano")</f>
        <v>Bioestatística aplicada ao movimento humano</v>
      </c>
      <c r="B33" s="24" t="str">
        <f>IFERROR(__xludf.DUMMYFUNCTION("""COMPUTED_VALUE"""),"Odival Faccenda; Lourdes Lago Stefanelo")</f>
        <v>Odival Faccenda; Lourdes Lago Stefanelo</v>
      </c>
      <c r="C33" s="24" t="str">
        <f>IFERROR(__xludf.DUMMYFUNCTION("""COMPUTED_VALUE"""),"Dourados, MS")</f>
        <v>Dourados, MS</v>
      </c>
      <c r="D33" s="24" t="str">
        <f>IFERROR(__xludf.DUMMYFUNCTION("""COMPUTED_VALUE"""),"Editora UEMS")</f>
        <v>Editora UEMS</v>
      </c>
      <c r="E33" s="25">
        <f>IFERROR(__xludf.DUMMYFUNCTION("""COMPUTED_VALUE"""),2014.0)</f>
        <v>2014</v>
      </c>
      <c r="F33" s="24" t="str">
        <f>IFERROR(__xludf.DUMMYFUNCTION("""COMPUTED_VALUE"""),"Bioestatística; Agilidade; Ritmo")</f>
        <v>Bioestatística; Agilidade; Ritmo</v>
      </c>
      <c r="G33" s="28" t="str">
        <f>IFERROR(__xludf.DUMMYFUNCTION("""COMPUTED_VALUE"""),"9788599880685")</f>
        <v>9788599880685</v>
      </c>
      <c r="H33" s="29" t="str">
        <f>IFERROR(__xludf.DUMMYFUNCTION("""COMPUTED_VALUE"""),"http://www.uems.br/assets/uploads/editora/arquivos/3_2016-09-29_16-52-43.pdf")</f>
        <v>http://www.uems.br/assets/uploads/editora/arquivos/3_2016-09-29_16-52-43.pdf</v>
      </c>
      <c r="I33" s="24" t="str">
        <f>IFERROR(__xludf.DUMMYFUNCTION("""COMPUTED_VALUE"""),"Ciências da Saúde")</f>
        <v>Ciências da Saúde</v>
      </c>
    </row>
    <row r="34">
      <c r="A34" s="24" t="str">
        <f>IFERROR(__xludf.DUMMYFUNCTION("""COMPUTED_VALUE"""),"Bioquímica Médica para Iniciantes")</f>
        <v>Bioquímica Médica para Iniciantes</v>
      </c>
      <c r="B34" s="24" t="str">
        <f>IFERROR(__xludf.DUMMYFUNCTION("""COMPUTED_VALUE"""),"Débora Dalpai Alethéa Gatto Barschak; ")</f>
        <v>Débora Dalpai Alethéa Gatto Barschak; </v>
      </c>
      <c r="C34" s="24" t="str">
        <f>IFERROR(__xludf.DUMMYFUNCTION("""COMPUTED_VALUE"""),"Porto Alegre")</f>
        <v>Porto Alegre</v>
      </c>
      <c r="D34" s="24" t="str">
        <f>IFERROR(__xludf.DUMMYFUNCTION("""COMPUTED_VALUE"""),"UFCSPA ")</f>
        <v>UFCSPA </v>
      </c>
      <c r="E34" s="25">
        <f>IFERROR(__xludf.DUMMYFUNCTION("""COMPUTED_VALUE"""),2018.0)</f>
        <v>2018</v>
      </c>
      <c r="F34" s="24" t="str">
        <f>IFERROR(__xludf.DUMMYFUNCTION("""COMPUTED_VALUE"""),"Bioquímica Medicina e saúde Proteínas Lipídeos Carboidratos Metabolismo energético")</f>
        <v>Bioquímica Medicina e saúde Proteínas Lipídeos Carboidratos Metabolismo energético</v>
      </c>
      <c r="G34" s="28" t="str">
        <f>IFERROR(__xludf.DUMMYFUNCTION("""COMPUTED_VALUE"""),"9788592652029")</f>
        <v>9788592652029</v>
      </c>
      <c r="H34" s="29" t="str">
        <f>IFERROR(__xludf.DUMMYFUNCTION("""COMPUTED_VALUE"""),"https://www.ufcspa.edu.br/editora_log/download.php?cod=003&amp;tipo=pdf")</f>
        <v>https://www.ufcspa.edu.br/editora_log/download.php?cod=003&amp;tipo=pdf</v>
      </c>
      <c r="I34" s="24" t="str">
        <f>IFERROR(__xludf.DUMMYFUNCTION("""COMPUTED_VALUE"""),"Ciências da Saúde")</f>
        <v>Ciências da Saúde</v>
      </c>
    </row>
    <row r="35">
      <c r="A35" s="24" t="str">
        <f>IFERROR(__xludf.DUMMYFUNCTION("""COMPUTED_VALUE"""),"Cartilha Informativa de Plantas Medicinais do Médio Vale do Itajaí")</f>
        <v>Cartilha Informativa de Plantas Medicinais do Médio Vale do Itajaí</v>
      </c>
      <c r="B35" s="24" t="str">
        <f>IFERROR(__xludf.DUMMYFUNCTION("""COMPUTED_VALUE"""),"Helenadja Santos Mota, Sallua Alves, Luana Dalbosco, Elisa Kempener, Andrey Bormanieri, Paulo Roberto de Souza.")</f>
        <v>Helenadja Santos Mota, Sallua Alves, Luana Dalbosco, Elisa Kempener, Andrey Bormanieri, Paulo Roberto de Souza.</v>
      </c>
      <c r="C35" s="24" t="str">
        <f>IFERROR(__xludf.DUMMYFUNCTION("""COMPUTED_VALUE"""),"Blumenau")</f>
        <v>Blumenau</v>
      </c>
      <c r="D35" s="24" t="str">
        <f>IFERROR(__xludf.DUMMYFUNCTION("""COMPUTED_VALUE"""),"Instituto Federal Catarinense")</f>
        <v>Instituto Federal Catarinense</v>
      </c>
      <c r="E35" s="25">
        <f>IFERROR(__xludf.DUMMYFUNCTION("""COMPUTED_VALUE"""),2019.0)</f>
        <v>2019</v>
      </c>
      <c r="F35" s="24" t="str">
        <f>IFERROR(__xludf.DUMMYFUNCTION("""COMPUTED_VALUE"""),"Plantas medicinais - Santa Catarina. Ervas - uso terapêutico. Matéria médica vegetal")</f>
        <v>Plantas medicinais - Santa Catarina. Ervas - uso terapêutico. Matéria médica vegetal</v>
      </c>
      <c r="G35" s="26"/>
      <c r="H35" s="29" t="str">
        <f>IFERROR(__xludf.DUMMYFUNCTION("""COMPUTED_VALUE"""),"https://editora.ifc.edu.br/2019/08/07/cartilha-informativa-de-plantas-medicinais-do-medio-vale-do-itajai/")</f>
        <v>https://editora.ifc.edu.br/2019/08/07/cartilha-informativa-de-plantas-medicinais-do-medio-vale-do-itajai/</v>
      </c>
      <c r="I35" s="24" t="str">
        <f>IFERROR(__xludf.DUMMYFUNCTION("""COMPUTED_VALUE"""),"Ciências da Saúde")</f>
        <v>Ciências da Saúde</v>
      </c>
    </row>
    <row r="36">
      <c r="A36" s="24" t="str">
        <f>IFERROR(__xludf.DUMMYFUNCTION("""COMPUTED_VALUE"""),"Chagas, Malária e Amarelão: doenças negligenciadas que ainda matam no Brasil")</f>
        <v>Chagas, Malária e Amarelão: doenças negligenciadas que ainda matam no Brasil</v>
      </c>
      <c r="B36" s="24" t="str">
        <f>IFERROR(__xludf.DUMMYFUNCTION("""COMPUTED_VALUE"""),"Kárita de Jesus Boaventura; Wilton de Araújo Medeiros; Juliana Simião Ferreira; ")</f>
        <v>Kárita de Jesus Boaventura; Wilton de Araújo Medeiros; Juliana Simião Ferreira; </v>
      </c>
      <c r="C36" s="24" t="str">
        <f>IFERROR(__xludf.DUMMYFUNCTION("""COMPUTED_VALUE"""),"Anápolis")</f>
        <v>Anápolis</v>
      </c>
      <c r="D36" s="24" t="str">
        <f>IFERROR(__xludf.DUMMYFUNCTION("""COMPUTED_VALUE"""),"UEG")</f>
        <v>UEG</v>
      </c>
      <c r="E36" s="25">
        <f>IFERROR(__xludf.DUMMYFUNCTION("""COMPUTED_VALUE"""),2017.0)</f>
        <v>2017</v>
      </c>
      <c r="F36" s="24" t="str">
        <f>IFERROR(__xludf.DUMMYFUNCTION("""COMPUTED_VALUE"""),"Chagas; Malária; Doenças Tropicais")</f>
        <v>Chagas; Malária; Doenças Tropicais</v>
      </c>
      <c r="G36" s="28" t="str">
        <f>IFERROR(__xludf.DUMMYFUNCTION("""COMPUTED_VALUE"""),"9788555820267")</f>
        <v>9788555820267</v>
      </c>
      <c r="H36" s="29" t="str">
        <f>IFERROR(__xludf.DUMMYFUNCTION("""COMPUTED_VALUE"""),"http://cdn.ueg.edu.br/source/editora_ueg/conteudo_compartilhado/11005/ebook_chagas_malaria_amarelao.pdf")</f>
        <v>http://cdn.ueg.edu.br/source/editora_ueg/conteudo_compartilhado/11005/ebook_chagas_malaria_amarelao.pdf</v>
      </c>
      <c r="I36" s="24" t="str">
        <f>IFERROR(__xludf.DUMMYFUNCTION("""COMPUTED_VALUE"""),"Ciências da Saúde")</f>
        <v>Ciências da Saúde</v>
      </c>
    </row>
    <row r="37">
      <c r="A37" s="24" t="str">
        <f>IFERROR(__xludf.DUMMYFUNCTION("""COMPUTED_VALUE"""),"Ciências da Saúde: resultados dos projetos de iniciação científica da Universidade Federal do Amapá (2012-2016) ")</f>
        <v>Ciências da Saúde: resultados dos projetos de iniciação científica da Universidade Federal do Amapá (2012-2016) </v>
      </c>
      <c r="B37" s="24" t="str">
        <f>IFERROR(__xludf.DUMMYFUNCTION("""COMPUTED_VALUE"""),"Organização de Alaan Ubaiara Brito, Cris Evelin da Costa Dalmácio e Helena Cristina Guimarães Queiroz Simões. ")</f>
        <v>Organização de Alaan Ubaiara Brito, Cris Evelin da Costa Dalmácio e Helena Cristina Guimarães Queiroz Simões. </v>
      </c>
      <c r="C37" s="24" t="str">
        <f>IFERROR(__xludf.DUMMYFUNCTION("""COMPUTED_VALUE"""),"Macapá")</f>
        <v>Macapá</v>
      </c>
      <c r="D37" s="24" t="str">
        <f>IFERROR(__xludf.DUMMYFUNCTION("""COMPUTED_VALUE"""),"UNIFAP")</f>
        <v>UNIFAP</v>
      </c>
      <c r="E37" s="25">
        <f>IFERROR(__xludf.DUMMYFUNCTION("""COMPUTED_VALUE"""),2017.0)</f>
        <v>2017</v>
      </c>
      <c r="F37" s="24" t="str">
        <f>IFERROR(__xludf.DUMMYFUNCTION("""COMPUTED_VALUE"""),"Ciências da Saúde; Epidemiologia; Farmácia - Medicamentos")</f>
        <v>Ciências da Saúde; Epidemiologia; Farmácia - Medicamentos</v>
      </c>
      <c r="G37" s="28" t="str">
        <f>IFERROR(__xludf.DUMMYFUNCTION("""COMPUTED_VALUE"""),"9788562359644")</f>
        <v>9788562359644</v>
      </c>
      <c r="H37" s="29" t="str">
        <f>IFERROR(__xludf.DUMMYFUNCTION("""COMPUTED_VALUE"""),"https://www2.unifap.br/editora/files/2014/12/Livro-CSa%c3%bade-finalizado.pdf")</f>
        <v>https://www2.unifap.br/editora/files/2014/12/Livro-CSa%c3%bade-finalizado.pdf</v>
      </c>
      <c r="I37" s="24" t="str">
        <f>IFERROR(__xludf.DUMMYFUNCTION("""COMPUTED_VALUE"""),"Ciências da Saúde")</f>
        <v>Ciências da Saúde</v>
      </c>
    </row>
    <row r="38">
      <c r="A38" s="24" t="str">
        <f>IFERROR(__xludf.DUMMYFUNCTION("""COMPUTED_VALUE"""),"Ciências da Saúde: saberes e práticas interdisciplinares ")</f>
        <v>Ciências da Saúde: saberes e práticas interdisciplinares </v>
      </c>
      <c r="B38" s="24" t="str">
        <f>IFERROR(__xludf.DUMMYFUNCTION("""COMPUTED_VALUE"""),"Joelma Abadia Marciano de Paula; Vanessa Cristiane de Santana Amaral(org.)")</f>
        <v>Joelma Abadia Marciano de Paula; Vanessa Cristiane de Santana Amaral(org.)</v>
      </c>
      <c r="C38" s="24" t="str">
        <f>IFERROR(__xludf.DUMMYFUNCTION("""COMPUTED_VALUE"""),"Anápolis")</f>
        <v>Anápolis</v>
      </c>
      <c r="D38" s="24" t="str">
        <f>IFERROR(__xludf.DUMMYFUNCTION("""COMPUTED_VALUE"""),"UEG")</f>
        <v>UEG</v>
      </c>
      <c r="E38" s="25">
        <f>IFERROR(__xludf.DUMMYFUNCTION("""COMPUTED_VALUE"""),2019.0)</f>
        <v>2019</v>
      </c>
      <c r="F38" s="24" t="str">
        <f>IFERROR(__xludf.DUMMYFUNCTION("""COMPUTED_VALUE"""),"Biodiversidade; Medicamentos Fitoterápicos; Sanidade Animal; Saúde Pública")</f>
        <v>Biodiversidade; Medicamentos Fitoterápicos; Sanidade Animal; Saúde Pública</v>
      </c>
      <c r="G38" s="28" t="str">
        <f>IFERROR(__xludf.DUMMYFUNCTION("""COMPUTED_VALUE"""),"9788555820601")</f>
        <v>9788555820601</v>
      </c>
      <c r="H38" s="29" t="str">
        <f>IFERROR(__xludf.DUMMYFUNCTION("""COMPUTED_VALUE"""),"http://cdn.ueg.edu.br/source/editora_ueg/conteudo_compartilhado/10784/ebook_ciencias_da_saude/ebook_ciencias_da_saude_2019.pdf")</f>
        <v>http://cdn.ueg.edu.br/source/editora_ueg/conteudo_compartilhado/10784/ebook_ciencias_da_saude/ebook_ciencias_da_saude_2019.pdf</v>
      </c>
      <c r="I38" s="24" t="str">
        <f>IFERROR(__xludf.DUMMYFUNCTION("""COMPUTED_VALUE"""),"Ciências da Saúde")</f>
        <v>Ciências da Saúde</v>
      </c>
    </row>
    <row r="39">
      <c r="A39" s="24" t="str">
        <f>IFERROR(__xludf.DUMMYFUNCTION("""COMPUTED_VALUE"""),"Cientificidade e dissertações. vol. 1")</f>
        <v>Cientificidade e dissertações. vol. 1</v>
      </c>
      <c r="B39" s="24" t="str">
        <f>IFERROR(__xludf.DUMMYFUNCTION("""COMPUTED_VALUE"""),"Ricardo Pavani Luiz; Alberto Forgiarini Jr. (org.)")</f>
        <v>Ricardo Pavani Luiz; Alberto Forgiarini Jr. (org.)</v>
      </c>
      <c r="C39" s="24" t="str">
        <f>IFERROR(__xludf.DUMMYFUNCTION("""COMPUTED_VALUE"""),"Porto Alegre, RS")</f>
        <v>Porto Alegre, RS</v>
      </c>
      <c r="D39" s="24" t="str">
        <f>IFERROR(__xludf.DUMMYFUNCTION("""COMPUTED_VALUE"""),"Editora Universitária Metodista")</f>
        <v>Editora Universitária Metodista</v>
      </c>
      <c r="E39" s="25">
        <f>IFERROR(__xludf.DUMMYFUNCTION("""COMPUTED_VALUE"""),2016.0)</f>
        <v>2016</v>
      </c>
      <c r="F39" s="24" t="str">
        <f>IFERROR(__xludf.DUMMYFUNCTION("""COMPUTED_VALUE"""),"Pesquisa de Pós-Graduação. Mestrado Profissional em Reabilitação e Inclusão. Mestrado Acadêmico Biociências e Reabilitação")</f>
        <v>Pesquisa de Pós-Graduação. Mestrado Profissional em Reabilitação e Inclusão. Mestrado Acadêmico Biociências e Reabilitação</v>
      </c>
      <c r="G39" s="28" t="str">
        <f>IFERROR(__xludf.DUMMYFUNCTION("""COMPUTED_VALUE"""),"9788599738559")</f>
        <v>9788599738559</v>
      </c>
      <c r="H39" s="29" t="str">
        <f>IFERROR(__xludf.DUMMYFUNCTION("""COMPUTED_VALUE"""),"http://editora.metodista.br/livros-gratis/cientificidadeedissertacoesfinal.pdf/at_download/file")</f>
        <v>http://editora.metodista.br/livros-gratis/cientificidadeedissertacoesfinal.pdf/at_download/file</v>
      </c>
      <c r="I39" s="24" t="str">
        <f>IFERROR(__xludf.DUMMYFUNCTION("""COMPUTED_VALUE"""),"Ciências da Saúde")</f>
        <v>Ciências da Saúde</v>
      </c>
    </row>
    <row r="40">
      <c r="A40" s="24" t="str">
        <f>IFERROR(__xludf.DUMMYFUNCTION("""COMPUTED_VALUE"""),"Comer bem com o que se tem: de volta às raízes")</f>
        <v>Comer bem com o que se tem: de volta às raízes</v>
      </c>
      <c r="B40" s="24" t="str">
        <f>IFERROR(__xludf.DUMMYFUNCTION("""COMPUTED_VALUE"""),"Organizadoras: Maria do Perpétuo Socorro Oliveira de Souza; Maria da Conceição Bernardo Mustafa; Maridans de Almeida Oliveira")</f>
        <v>Organizadoras: Maria do Perpétuo Socorro Oliveira de Souza; Maria da Conceição Bernardo Mustafa; Maridans de Almeida Oliveira</v>
      </c>
      <c r="C40" s="24" t="str">
        <f>IFERROR(__xludf.DUMMYFUNCTION("""COMPUTED_VALUE"""),"Rio Branco")</f>
        <v>Rio Branco</v>
      </c>
      <c r="D40" s="24" t="str">
        <f>IFERROR(__xludf.DUMMYFUNCTION("""COMPUTED_VALUE"""),"Edufac")</f>
        <v>Edufac</v>
      </c>
      <c r="E40" s="25">
        <f>IFERROR(__xludf.DUMMYFUNCTION("""COMPUTED_VALUE"""),2017.0)</f>
        <v>2017</v>
      </c>
      <c r="F40" s="24" t="str">
        <f>IFERROR(__xludf.DUMMYFUNCTION("""COMPUTED_VALUE"""),"Culinária - Caseira; Grávidas - Nutrição; Gravidez - Aspectos nutricionais")</f>
        <v>Culinária - Caseira; Grávidas - Nutrição; Gravidez - Aspectos nutricionais</v>
      </c>
      <c r="G40" s="28" t="str">
        <f>IFERROR(__xludf.DUMMYFUNCTION("""COMPUTED_VALUE"""),"9788582360293")</f>
        <v>9788582360293</v>
      </c>
      <c r="H40" s="29" t="str">
        <f>IFERROR(__xludf.DUMMYFUNCTION("""COMPUTED_VALUE"""),"http://www2.ufac.br/editora/livros/comer-bem-com-o-que-se-tem.pdf")</f>
        <v>http://www2.ufac.br/editora/livros/comer-bem-com-o-que-se-tem.pdf</v>
      </c>
      <c r="I40" s="24" t="str">
        <f>IFERROR(__xludf.DUMMYFUNCTION("""COMPUTED_VALUE"""),"Ciências da Saúde")</f>
        <v>Ciências da Saúde</v>
      </c>
    </row>
    <row r="41">
      <c r="A41" s="24" t="str">
        <f>IFERROR(__xludf.DUMMYFUNCTION("""COMPUTED_VALUE"""),"Conexão – Saúde: o protagonismo de universitários em comunidades populares")</f>
        <v>Conexão – Saúde: o protagonismo de universitários em comunidades populares</v>
      </c>
      <c r="B41" s="24" t="str">
        <f>IFERROR(__xludf.DUMMYFUNCTION("""COMPUTED_VALUE"""),"Fabiana Coelho Faroni, Raquel Baroni de Carvalho, Roseane Vargas Rohr (org.)")</f>
        <v>Fabiana Coelho Faroni, Raquel Baroni de Carvalho, Roseane Vargas Rohr (org.)</v>
      </c>
      <c r="C41" s="24" t="str">
        <f>IFERROR(__xludf.DUMMYFUNCTION("""COMPUTED_VALUE"""),"Vitória")</f>
        <v>Vitória</v>
      </c>
      <c r="D41" s="24" t="str">
        <f>IFERROR(__xludf.DUMMYFUNCTION("""COMPUTED_VALUE"""),"EDUFES")</f>
        <v>EDUFES</v>
      </c>
      <c r="E41" s="25">
        <f>IFERROR(__xludf.DUMMYFUNCTION("""COMPUTED_VALUE"""),2013.0)</f>
        <v>2013</v>
      </c>
      <c r="F41" s="24" t="str">
        <f>IFERROR(__xludf.DUMMYFUNCTION("""COMPUTED_VALUE"""),"Relações comunidade; Educação em saúde; Saúde pública")</f>
        <v>Relações comunidade; Educação em saúde; Saúde pública</v>
      </c>
      <c r="G41" s="28" t="str">
        <f>IFERROR(__xludf.DUMMYFUNCTION("""COMPUTED_VALUE"""),"9788577721290")</f>
        <v>9788577721290</v>
      </c>
      <c r="H41" s="29" t="str">
        <f>IFERROR(__xludf.DUMMYFUNCTION("""COMPUTED_VALUE"""),"http://repositorio.ufes.br/bitstream/10/794/1/livro%20edufes%20Conex%C3%A3o%20Sa%C3%BAde%20o%20protagonismo%20de%20universitarios%20em%20comunidades%20populares.pdf")</f>
        <v>http://repositorio.ufes.br/bitstream/10/794/1/livro%20edufes%20Conex%C3%A3o%20Sa%C3%BAde%20o%20protagonismo%20de%20universitarios%20em%20comunidades%20populares.pdf</v>
      </c>
      <c r="I41" s="24" t="str">
        <f>IFERROR(__xludf.DUMMYFUNCTION("""COMPUTED_VALUE"""),"Ciências da Saúde")</f>
        <v>Ciências da Saúde</v>
      </c>
    </row>
    <row r="42">
      <c r="A42" s="24" t="str">
        <f>IFERROR(__xludf.DUMMYFUNCTION("""COMPUTED_VALUE"""),"Conexões da Saúde Mental e Território")</f>
        <v>Conexões da Saúde Mental e Território</v>
      </c>
      <c r="B42" s="24" t="str">
        <f>IFERROR(__xludf.DUMMYFUNCTION("""COMPUTED_VALUE"""),"Eduardo Augusto Werneck Ribeiro. Adeir Archanjo da Mota. Carlos Gonzalo Giraldez")</f>
        <v>Eduardo Augusto Werneck Ribeiro. Adeir Archanjo da Mota. Carlos Gonzalo Giraldez</v>
      </c>
      <c r="C42" s="24" t="str">
        <f>IFERROR(__xludf.DUMMYFUNCTION("""COMPUTED_VALUE"""),"Blumenau")</f>
        <v>Blumenau</v>
      </c>
      <c r="D42" s="24" t="str">
        <f>IFERROR(__xludf.DUMMYFUNCTION("""COMPUTED_VALUE"""),"Instituto Federal Catarinense")</f>
        <v>Instituto Federal Catarinense</v>
      </c>
      <c r="E42" s="25">
        <f>IFERROR(__xludf.DUMMYFUNCTION("""COMPUTED_VALUE"""),2019.0)</f>
        <v>2019</v>
      </c>
      <c r="F42" s="24" t="str">
        <f>IFERROR(__xludf.DUMMYFUNCTION("""COMPUTED_VALUE"""),"Saúde mental - literatura - Brasil. Saúde mental - Ensino superior - São Paulo. Espaço urbano. Saúde mental - Mato Grosso do Sul")</f>
        <v>Saúde mental - literatura - Brasil. Saúde mental - Ensino superior - São Paulo. Espaço urbano. Saúde mental - Mato Grosso do Sul</v>
      </c>
      <c r="G42" s="28" t="str">
        <f>IFERROR(__xludf.DUMMYFUNCTION("""COMPUTED_VALUE"""),"9788556440372")</f>
        <v>9788556440372</v>
      </c>
      <c r="H42" s="29" t="str">
        <f>IFERROR(__xludf.DUMMYFUNCTION("""COMPUTED_VALUE"""),"https://editora.ifc.edu.br/2019/08/29/saude-mental/")</f>
        <v>https://editora.ifc.edu.br/2019/08/29/saude-mental/</v>
      </c>
      <c r="I42" s="24" t="str">
        <f>IFERROR(__xludf.DUMMYFUNCTION("""COMPUTED_VALUE"""),"Ciências da Saúde")</f>
        <v>Ciências da Saúde</v>
      </c>
    </row>
    <row r="43">
      <c r="A43" s="24" t="str">
        <f>IFERROR(__xludf.DUMMYFUNCTION("""COMPUTED_VALUE"""),"Congresso Internacional de Atividade Física, Nutrição e Saúde – CIAFIS")</f>
        <v>Congresso Internacional de Atividade Física, Nutrição e Saúde – CIAFIS</v>
      </c>
      <c r="B43" s="24" t="str">
        <f>IFERROR(__xludf.DUMMYFUNCTION("""COMPUTED_VALUE"""),"Estélio Henrique Martin Dantas, Lisane Teixeira, Pureza Santa Rosa, Andrea Machado, Juliana Dantas, Luciana Zago, Richard Cabral, Hugo Xavier, Simone Alves G. Guedes e Angelica Piovesan")</f>
        <v>Estélio Henrique Martin Dantas, Lisane Teixeira, Pureza Santa Rosa, Andrea Machado, Juliana Dantas, Luciana Zago, Richard Cabral, Hugo Xavier, Simone Alves G. Guedes e Angelica Piovesan</v>
      </c>
      <c r="C43" s="24" t="str">
        <f>IFERROR(__xludf.DUMMYFUNCTION("""COMPUTED_VALUE"""),"Joaçaba")</f>
        <v>Joaçaba</v>
      </c>
      <c r="D43" s="24" t="str">
        <f>IFERROR(__xludf.DUMMYFUNCTION("""COMPUTED_VALUE"""),"Unoesc")</f>
        <v>Unoesc</v>
      </c>
      <c r="E43" s="25">
        <f>IFERROR(__xludf.DUMMYFUNCTION("""COMPUTED_VALUE"""),2019.0)</f>
        <v>2019</v>
      </c>
      <c r="F43" s="24" t="str">
        <f>IFERROR(__xludf.DUMMYFUNCTION("""COMPUTED_VALUE"""),"Educação física, Nutrição, Psicologia clínica, Exercícios físicos, Saúde, World Congresso; Human Motricity (1: 2018 : 18-21 de set. : Aracajú,; SE)")</f>
        <v>Educação física, Nutrição, Psicologia clínica, Exercícios físicos, Saúde, World Congresso; Human Motricity (1: 2018 : 18-21 de set. : Aracajú,; SE)</v>
      </c>
      <c r="G43" s="28" t="str">
        <f>IFERROR(__xludf.DUMMYFUNCTION("""COMPUTED_VALUE"""),"9788584222049")</f>
        <v>9788584222049</v>
      </c>
      <c r="H43" s="29" t="str">
        <f>IFERROR(__xludf.DUMMYFUNCTION("""COMPUTED_VALUE"""),"https://www.unoesc.edu.br/images/uploads/editora/Congresso_Euromotricidade_2018.pdf")</f>
        <v>https://www.unoesc.edu.br/images/uploads/editora/Congresso_Euromotricidade_2018.pdf</v>
      </c>
      <c r="I43" s="24" t="str">
        <f>IFERROR(__xludf.DUMMYFUNCTION("""COMPUTED_VALUE"""),"Ciências da Saúde")</f>
        <v>Ciências da Saúde</v>
      </c>
    </row>
    <row r="44">
      <c r="A44" s="24" t="str">
        <f>IFERROR(__xludf.DUMMYFUNCTION("""COMPUTED_VALUE"""),"Conhecendo a doença de Alzheimer: uma contribuição para familiares e cuidadores ")</f>
        <v>Conhecendo a doença de Alzheimer: uma contribuição para familiares e cuidadores </v>
      </c>
      <c r="B44" s="24" t="str">
        <f>IFERROR(__xludf.DUMMYFUNCTION("""COMPUTED_VALUE"""),"Raimunda Silva d’Alencar, Evani Moreira Pedreira dos Santos, Joelma Batista Tebaldi Pinto. ")</f>
        <v>Raimunda Silva d’Alencar, Evani Moreira Pedreira dos Santos, Joelma Batista Tebaldi Pinto. </v>
      </c>
      <c r="C44" s="24" t="str">
        <f>IFERROR(__xludf.DUMMYFUNCTION("""COMPUTED_VALUE"""),"Ilhéus, BA")</f>
        <v>Ilhéus, BA</v>
      </c>
      <c r="D44" s="24" t="str">
        <f>IFERROR(__xludf.DUMMYFUNCTION("""COMPUTED_VALUE"""),"Editus")</f>
        <v>Editus</v>
      </c>
      <c r="E44" s="25">
        <f>IFERROR(__xludf.DUMMYFUNCTION("""COMPUTED_VALUE"""),2010.0)</f>
        <v>2010</v>
      </c>
      <c r="F44" s="24" t="str">
        <f>IFERROR(__xludf.DUMMYFUNCTION("""COMPUTED_VALUE"""),"Alzheimer, doença de – Pacientes – Cuidado e trata-; mento; Idosos – Cuidado e tratamento; Idosos – Relação com a família")</f>
        <v>Alzheimer, doença de – Pacientes – Cuidado e trata-; mento; Idosos – Cuidado e tratamento; Idosos – Relação com a família</v>
      </c>
      <c r="G44" s="28" t="str">
        <f>IFERROR(__xludf.DUMMYFUNCTION("""COMPUTED_VALUE"""),"9788574551982")</f>
        <v>9788574551982</v>
      </c>
      <c r="H44" s="29" t="str">
        <f>IFERROR(__xludf.DUMMYFUNCTION("""COMPUTED_VALUE"""),"http://www.uesc.br/editora/livrosdigitais2015/conhecendo_alzheimer.pdf")</f>
        <v>http://www.uesc.br/editora/livrosdigitais2015/conhecendo_alzheimer.pdf</v>
      </c>
      <c r="I44" s="24" t="str">
        <f>IFERROR(__xludf.DUMMYFUNCTION("""COMPUTED_VALUE"""),"Ciências da Saúde")</f>
        <v>Ciências da Saúde</v>
      </c>
    </row>
    <row r="45">
      <c r="A45" s="24" t="str">
        <f>IFERROR(__xludf.DUMMYFUNCTION("""COMPUTED_VALUE"""),"Controle social na política de saúde: um estudo sobre o município de Ilhéus")</f>
        <v>Controle social na política de saúde: um estudo sobre o município de Ilhéus</v>
      </c>
      <c r="B45" s="24" t="str">
        <f>IFERROR(__xludf.DUMMYFUNCTION("""COMPUTED_VALUE"""),"Meire Núbia Santos de Santana")</f>
        <v>Meire Núbia Santos de Santana</v>
      </c>
      <c r="C45" s="24" t="str">
        <f>IFERROR(__xludf.DUMMYFUNCTION("""COMPUTED_VALUE"""),"Ilhéus, BA")</f>
        <v>Ilhéus, BA</v>
      </c>
      <c r="D45" s="24" t="str">
        <f>IFERROR(__xludf.DUMMYFUNCTION("""COMPUTED_VALUE"""),"Editus")</f>
        <v>Editus</v>
      </c>
      <c r="E45" s="25">
        <f>IFERROR(__xludf.DUMMYFUNCTION("""COMPUTED_VALUE"""),2015.0)</f>
        <v>2015</v>
      </c>
      <c r="F45" s="24" t="str">
        <f>IFERROR(__xludf.DUMMYFUNCTION("""COMPUTED_VALUE"""),"Sistema Único Saúde (Brasil); Política; de saúde – Ilhéus (BA); Saúde pública – Ilhéus (BA)")</f>
        <v>Sistema Único Saúde (Brasil); Política; de saúde – Ilhéus (BA); Saúde pública – Ilhéus (BA)</v>
      </c>
      <c r="G45" s="28" t="str">
        <f>IFERROR(__xludf.DUMMYFUNCTION("""COMPUTED_VALUE"""),"9788574553948")</f>
        <v>9788574553948</v>
      </c>
      <c r="H45" s="29" t="str">
        <f>IFERROR(__xludf.DUMMYFUNCTION("""COMPUTED_VALUE"""),"http://www.uesc.br/editora/livrosdigitais2016/controle_social_politica_saude.pdf")</f>
        <v>http://www.uesc.br/editora/livrosdigitais2016/controle_social_politica_saude.pdf</v>
      </c>
      <c r="I45" s="24" t="str">
        <f>IFERROR(__xludf.DUMMYFUNCTION("""COMPUTED_VALUE"""),"Ciências da Saúde")</f>
        <v>Ciências da Saúde</v>
      </c>
    </row>
    <row r="46">
      <c r="A46" s="24" t="str">
        <f>IFERROR(__xludf.DUMMYFUNCTION("""COMPUTED_VALUE"""),"COVID-19 e a saúde da mulher ")</f>
        <v>COVID-19 e a saúde da mulher </v>
      </c>
      <c r="B46" s="24" t="str">
        <f>IFERROR(__xludf.DUMMYFUNCTION("""COMPUTED_VALUE"""),"Ana Roberta Vilarouca da Silva (coord)")</f>
        <v>Ana Roberta Vilarouca da Silva (coord)</v>
      </c>
      <c r="C46" s="24" t="str">
        <f>IFERROR(__xludf.DUMMYFUNCTION("""COMPUTED_VALUE"""),"Teresina")</f>
        <v>Teresina</v>
      </c>
      <c r="D46" s="24" t="str">
        <f>IFERROR(__xludf.DUMMYFUNCTION("""COMPUTED_VALUE"""),"Editora da UFPI")</f>
        <v>Editora da UFPI</v>
      </c>
      <c r="E46" s="25">
        <f>IFERROR(__xludf.DUMMYFUNCTION("""COMPUTED_VALUE"""),2020.0)</f>
        <v>2020</v>
      </c>
      <c r="F46" s="24" t="str">
        <f>IFERROR(__xludf.DUMMYFUNCTION("""COMPUTED_VALUE"""),"Saúde da mulher; Gestação; Aleitamento; Violência contra a mulher; Covid-19")</f>
        <v>Saúde da mulher; Gestação; Aleitamento; Violência contra a mulher; Covid-19</v>
      </c>
      <c r="G46" s="26"/>
      <c r="H46" s="29" t="str">
        <f>IFERROR(__xludf.DUMMYFUNCTION("""COMPUTED_VALUE"""),"https://www.ufpi.br/arquivos_download/arquivos/covid-19_e_sa%C3%BAde_da_mulher20200723114337.pdf")</f>
        <v>https://www.ufpi.br/arquivos_download/arquivos/covid-19_e_sa%C3%BAde_da_mulher20200723114337.pdf</v>
      </c>
      <c r="I46" s="24" t="str">
        <f>IFERROR(__xludf.DUMMYFUNCTION("""COMPUTED_VALUE"""),"Ciências da Saúde")</f>
        <v>Ciências da Saúde</v>
      </c>
    </row>
    <row r="47">
      <c r="A47" s="24" t="str">
        <f>IFERROR(__xludf.DUMMYFUNCTION("""COMPUTED_VALUE"""),"Covid-19: um estudo comparativo da pandemia no Brasil e na Itália")</f>
        <v>Covid-19: um estudo comparativo da pandemia no Brasil e na Itália</v>
      </c>
      <c r="B47" s="24" t="str">
        <f>IFERROR(__xludf.DUMMYFUNCTION("""COMPUTED_VALUE"""),"Celso Ribeiro Campos, Andréa Pavan Perin; ")</f>
        <v>Celso Ribeiro Campos, Andréa Pavan Perin; </v>
      </c>
      <c r="C47" s="24" t="str">
        <f>IFERROR(__xludf.DUMMYFUNCTION("""COMPUTED_VALUE"""),"Porto Alegre")</f>
        <v>Porto Alegre</v>
      </c>
      <c r="D47" s="24" t="str">
        <f>IFERROR(__xludf.DUMMYFUNCTION("""COMPUTED_VALUE"""),"UFCSPA ")</f>
        <v>UFCSPA </v>
      </c>
      <c r="E47" s="25">
        <f>IFERROR(__xludf.DUMMYFUNCTION("""COMPUTED_VALUE"""),2020.0)</f>
        <v>2020</v>
      </c>
      <c r="F47" s="24" t="str">
        <f>IFERROR(__xludf.DUMMYFUNCTION("""COMPUTED_VALUE"""),"Epidemiologia Betacoronavirus Pandemias Campos")</f>
        <v>Epidemiologia Betacoronavirus Pandemias Campos</v>
      </c>
      <c r="G47" s="28" t="str">
        <f>IFERROR(__xludf.DUMMYFUNCTION("""COMPUTED_VALUE"""),"9786587950020")</f>
        <v>9786587950020</v>
      </c>
      <c r="H47" s="29" t="str">
        <f>IFERROR(__xludf.DUMMYFUNCTION("""COMPUTED_VALUE"""),"https://www.ufcspa.edu.br/editora_log/download.php?cod=013&amp;tipo=pdf")</f>
        <v>https://www.ufcspa.edu.br/editora_log/download.php?cod=013&amp;tipo=pdf</v>
      </c>
      <c r="I47" s="24" t="str">
        <f>IFERROR(__xludf.DUMMYFUNCTION("""COMPUTED_VALUE"""),"Ciências da Saúde")</f>
        <v>Ciências da Saúde</v>
      </c>
    </row>
    <row r="48">
      <c r="A48" s="24" t="str">
        <f>IFERROR(__xludf.DUMMYFUNCTION("""COMPUTED_VALUE"""),"Curar o corpo, salvar a alma: as representações do yoga no Brasil.")</f>
        <v>Curar o corpo, salvar a alma: as representações do yoga no Brasil.</v>
      </c>
      <c r="B48" s="24" t="str">
        <f>IFERROR(__xludf.DUMMYFUNCTION("""COMPUTED_VALUE"""),"Raphael Lugo Sanches")</f>
        <v>Raphael Lugo Sanches</v>
      </c>
      <c r="C48" s="24" t="str">
        <f>IFERROR(__xludf.DUMMYFUNCTION("""COMPUTED_VALUE"""),"Dourados, MS")</f>
        <v>Dourados, MS</v>
      </c>
      <c r="D48" s="24" t="str">
        <f>IFERROR(__xludf.DUMMYFUNCTION("""COMPUTED_VALUE"""),"Ed. UFGD")</f>
        <v>Ed. UFGD</v>
      </c>
      <c r="E48" s="25">
        <f>IFERROR(__xludf.DUMMYFUNCTION("""COMPUTED_VALUE"""),2017.0)</f>
        <v>2017</v>
      </c>
      <c r="F48" s="24" t="str">
        <f>IFERROR(__xludf.DUMMYFUNCTION("""COMPUTED_VALUE"""),"Yoga; Brasil; Representações")</f>
        <v>Yoga; Brasil; Representações</v>
      </c>
      <c r="G48" s="28" t="str">
        <f>IFERROR(__xludf.DUMMYFUNCTION("""COMPUTED_VALUE"""),"9788581471426")</f>
        <v>9788581471426</v>
      </c>
      <c r="H48" s="29" t="str">
        <f>IFERROR(__xludf.DUMMYFUNCTION("""COMPUTED_VALUE"""),"http://omp.ufgd.edu.br/omp/index.php/livrosabertos/catalog/view/70/74/254-1")</f>
        <v>http://omp.ufgd.edu.br/omp/index.php/livrosabertos/catalog/view/70/74/254-1</v>
      </c>
      <c r="I48" s="24" t="str">
        <f>IFERROR(__xludf.DUMMYFUNCTION("""COMPUTED_VALUE"""),"Ciências da Saúde")</f>
        <v>Ciências da Saúde</v>
      </c>
    </row>
    <row r="49">
      <c r="A49" s="24" t="str">
        <f>IFERROR(__xludf.DUMMYFUNCTION("""COMPUTED_VALUE"""),"Desigualdades em saúde materno-infantil no Brasil: 20 anos de progresso")</f>
        <v>Desigualdades em saúde materno-infantil no Brasil: 20 anos de progresso</v>
      </c>
      <c r="B49" s="24" t="str">
        <f>IFERROR(__xludf.DUMMYFUNCTION("""COMPUTED_VALUE"""),"Barros, Aluísio J. D.; Victora, Cesar Gomes; Wehrmeister, Fernando César")</f>
        <v>Barros, Aluísio J. D.; Victora, Cesar Gomes; Wehrmeister, Fernando César</v>
      </c>
      <c r="C49" s="24" t="str">
        <f>IFERROR(__xludf.DUMMYFUNCTION("""COMPUTED_VALUE"""),"Pelotas")</f>
        <v>Pelotas</v>
      </c>
      <c r="D49" s="24" t="str">
        <f>IFERROR(__xludf.DUMMYFUNCTION("""COMPUTED_VALUE"""),"UFPel")</f>
        <v>UFPel</v>
      </c>
      <c r="E49" s="25">
        <f>IFERROR(__xludf.DUMMYFUNCTION("""COMPUTED_VALUE"""),2019.0)</f>
        <v>2019</v>
      </c>
      <c r="F49" s="24" t="str">
        <f>IFERROR(__xludf.DUMMYFUNCTION("""COMPUTED_VALUE"""),"Saúde - Brasil; Saúde - desigualdade; Centro Internacional de Equidade em Saúde; Política de saúde; Saúde materno-infantil")</f>
        <v>Saúde - Brasil; Saúde - desigualdade; Centro Internacional de Equidade em Saúde; Política de saúde; Saúde materno-infantil</v>
      </c>
      <c r="G49" s="28" t="str">
        <f>IFERROR(__xludf.DUMMYFUNCTION("""COMPUTED_VALUE"""),"9788551700372")</f>
        <v>9788551700372</v>
      </c>
      <c r="H49" s="29" t="str">
        <f>IFERROR(__xludf.DUMMYFUNCTION("""COMPUTED_VALUE"""),"http://guaiaca.ufpel.edu.br/bitstream/prefix/4442/3/Desigualdades_em_saúde_materno-infantil_no_Brasil%20-%20versão%20corrigida.pdf")</f>
        <v>http://guaiaca.ufpel.edu.br/bitstream/prefix/4442/3/Desigualdades_em_saúde_materno-infantil_no_Brasil%20-%20versão%20corrigida.pdf</v>
      </c>
      <c r="I49" s="24" t="str">
        <f>IFERROR(__xludf.DUMMYFUNCTION("""COMPUTED_VALUE"""),"Ciências da Saúde")</f>
        <v>Ciências da Saúde</v>
      </c>
    </row>
    <row r="50">
      <c r="A50" s="24" t="str">
        <f>IFERROR(__xludf.DUMMYFUNCTION("""COMPUTED_VALUE"""),"Desporto para crianças e jovens: razões e finalidades ")</f>
        <v>Desporto para crianças e jovens: razões e finalidades </v>
      </c>
      <c r="B50" s="24" t="str">
        <f>IFERROR(__xludf.DUMMYFUNCTION("""COMPUTED_VALUE"""),"Gaya, Adroaldo Cezar Araujo; Marques, Antonio Teixeira; Tani, Go ")</f>
        <v>Gaya, Adroaldo Cezar Araujo; Marques, Antonio Teixeira; Tani, Go </v>
      </c>
      <c r="C50" s="24" t="str">
        <f>IFERROR(__xludf.DUMMYFUNCTION("""COMPUTED_VALUE"""),"Porto Alegre")</f>
        <v>Porto Alegre</v>
      </c>
      <c r="D50" s="24" t="str">
        <f>IFERROR(__xludf.DUMMYFUNCTION("""COMPUTED_VALUE"""),"UFRGS")</f>
        <v>UFRGS</v>
      </c>
      <c r="E50" s="25">
        <f>IFERROR(__xludf.DUMMYFUNCTION("""COMPUTED_VALUE"""),2004.0)</f>
        <v>2004</v>
      </c>
      <c r="F50" s="24" t="str">
        <f>IFERROR(__xludf.DUMMYFUNCTION("""COMPUTED_VALUE"""),"Educação física e treinamento")</f>
        <v>Educação física e treinamento</v>
      </c>
      <c r="G50" s="28" t="str">
        <f>IFERROR(__xludf.DUMMYFUNCTION("""COMPUTED_VALUE"""),"8570257627")</f>
        <v>8570257627</v>
      </c>
      <c r="H50" s="29" t="str">
        <f>IFERROR(__xludf.DUMMYFUNCTION("""COMPUTED_VALUE"""),"http://hdl.handle.net/10183/199823")</f>
        <v>http://hdl.handle.net/10183/199823</v>
      </c>
      <c r="I50" s="24" t="str">
        <f>IFERROR(__xludf.DUMMYFUNCTION("""COMPUTED_VALUE"""),"Ciências da Saúde")</f>
        <v>Ciências da Saúde</v>
      </c>
    </row>
    <row r="51">
      <c r="A51" s="24" t="str">
        <f>IFERROR(__xludf.DUMMYFUNCTION("""COMPUTED_VALUE"""),"Dilema e Paradoxos do Tratamento Involuntário em Saúde Mental")</f>
        <v>Dilema e Paradoxos do Tratamento Involuntário em Saúde Mental</v>
      </c>
      <c r="B51" s="24" t="str">
        <f>IFERROR(__xludf.DUMMYFUNCTION("""COMPUTED_VALUE"""),"Ricardo Luiz Narciso Moebus")</f>
        <v>Ricardo Luiz Narciso Moebus</v>
      </c>
      <c r="C51" s="24" t="str">
        <f>IFERROR(__xludf.DUMMYFUNCTION("""COMPUTED_VALUE"""),"Ouro Preto")</f>
        <v>Ouro Preto</v>
      </c>
      <c r="D51" s="24" t="str">
        <f>IFERROR(__xludf.DUMMYFUNCTION("""COMPUTED_VALUE"""),"UFOP")</f>
        <v>UFOP</v>
      </c>
      <c r="E51" s="25">
        <f>IFERROR(__xludf.DUMMYFUNCTION("""COMPUTED_VALUE"""),2018.0)</f>
        <v>2018</v>
      </c>
      <c r="F51" s="24" t="str">
        <f>IFERROR(__xludf.DUMMYFUNCTION("""COMPUTED_VALUE"""),"Saúde mental. Reforma psiquiátrica. Tratamento involuntário. Serviços de saúde mental")</f>
        <v>Saúde mental. Reforma psiquiátrica. Tratamento involuntário. Serviços de saúde mental</v>
      </c>
      <c r="G51" s="28" t="str">
        <f>IFERROR(__xludf.DUMMYFUNCTION("""COMPUTED_VALUE"""),"9788528803655")</f>
        <v>9788528803655</v>
      </c>
      <c r="H51" s="29" t="str">
        <f>IFERROR(__xludf.DUMMYFUNCTION("""COMPUTED_VALUE"""),"https://www.editora.ufop.br/index.php/editora/catalog/view/151/120/395-1")</f>
        <v>https://www.editora.ufop.br/index.php/editora/catalog/view/151/120/395-1</v>
      </c>
      <c r="I51" s="24" t="str">
        <f>IFERROR(__xludf.DUMMYFUNCTION("""COMPUTED_VALUE"""),"Ciências da Saúde")</f>
        <v>Ciências da Saúde</v>
      </c>
    </row>
    <row r="52">
      <c r="A52" s="24" t="str">
        <f>IFERROR(__xludf.DUMMYFUNCTION("""COMPUTED_VALUE"""),"Direitos Humanos e Saúde: volume 1")</f>
        <v>Direitos Humanos e Saúde: volume 1</v>
      </c>
      <c r="B52" s="24" t="str">
        <f>IFERROR(__xludf.DUMMYFUNCTION("""COMPUTED_VALUE"""),"Ana Carolina da Costa e Fonseca (org.) Paulo Gilberto Cogo Leivas (org.); ")</f>
        <v>Ana Carolina da Costa e Fonseca (org.) Paulo Gilberto Cogo Leivas (org.); </v>
      </c>
      <c r="C52" s="24" t="str">
        <f>IFERROR(__xludf.DUMMYFUNCTION("""COMPUTED_VALUE"""),"Porto Alegre")</f>
        <v>Porto Alegre</v>
      </c>
      <c r="D52" s="24" t="str">
        <f>IFERROR(__xludf.DUMMYFUNCTION("""COMPUTED_VALUE"""),"UFCSPA ")</f>
        <v>UFCSPA </v>
      </c>
      <c r="E52" s="25">
        <f>IFERROR(__xludf.DUMMYFUNCTION("""COMPUTED_VALUE"""),2018.0)</f>
        <v>2018</v>
      </c>
      <c r="F52" s="24" t="str">
        <f>IFERROR(__xludf.DUMMYFUNCTION("""COMPUTED_VALUE"""),"Saúde Pública Direitos humanos")</f>
        <v>Saúde Pública Direitos humanos</v>
      </c>
      <c r="G52" s="28" t="str">
        <f>IFERROR(__xludf.DUMMYFUNCTION("""COMPUTED_VALUE"""),"9788592652036")</f>
        <v>9788592652036</v>
      </c>
      <c r="H52" s="29" t="str">
        <f>IFERROR(__xludf.DUMMYFUNCTION("""COMPUTED_VALUE"""),"https://www.ufcspa.edu.br/editora_log/download.php?cod=006&amp;tipo=pdf")</f>
        <v>https://www.ufcspa.edu.br/editora_log/download.php?cod=006&amp;tipo=pdf</v>
      </c>
      <c r="I52" s="24" t="str">
        <f>IFERROR(__xludf.DUMMYFUNCTION("""COMPUTED_VALUE"""),"Ciências da Saúde")</f>
        <v>Ciências da Saúde</v>
      </c>
    </row>
    <row r="53">
      <c r="A53" s="24" t="str">
        <f>IFERROR(__xludf.DUMMYFUNCTION("""COMPUTED_VALUE"""),"Direitos Humanos e Saúde: volume 2")</f>
        <v>Direitos Humanos e Saúde: volume 2</v>
      </c>
      <c r="B53" s="24" t="str">
        <f>IFERROR(__xludf.DUMMYFUNCTION("""COMPUTED_VALUE"""),"Ana Carolina da Costa e Fonseca (org.) Paulo Gilberto Cogo Leivas (org.)")</f>
        <v>Ana Carolina da Costa e Fonseca (org.) Paulo Gilberto Cogo Leivas (org.)</v>
      </c>
      <c r="C53" s="24" t="str">
        <f>IFERROR(__xludf.DUMMYFUNCTION("""COMPUTED_VALUE"""),"Porto Alegre")</f>
        <v>Porto Alegre</v>
      </c>
      <c r="D53" s="24" t="str">
        <f>IFERROR(__xludf.DUMMYFUNCTION("""COMPUTED_VALUE"""),"UFCSPA ")</f>
        <v>UFCSPA </v>
      </c>
      <c r="E53" s="25">
        <f>IFERROR(__xludf.DUMMYFUNCTION("""COMPUTED_VALUE"""),2019.0)</f>
        <v>2019</v>
      </c>
      <c r="F53" s="24" t="str">
        <f>IFERROR(__xludf.DUMMYFUNCTION("""COMPUTED_VALUE"""),"Saúde Pública Direitos humanos")</f>
        <v>Saúde Pública Direitos humanos</v>
      </c>
      <c r="G53" s="28" t="str">
        <f>IFERROR(__xludf.DUMMYFUNCTION("""COMPUTED_VALUE"""),"9788592652128")</f>
        <v>9788592652128</v>
      </c>
      <c r="H53" s="29" t="str">
        <f>IFERROR(__xludf.DUMMYFUNCTION("""COMPUTED_VALUE"""),"https://www.ufcspa.edu.br/editora_log/download.php?cod=009&amp;tipo=pdf")</f>
        <v>https://www.ufcspa.edu.br/editora_log/download.php?cod=009&amp;tipo=pdf</v>
      </c>
      <c r="I53" s="24" t="str">
        <f>IFERROR(__xludf.DUMMYFUNCTION("""COMPUTED_VALUE"""),"Ciências da Saúde")</f>
        <v>Ciências da Saúde</v>
      </c>
    </row>
    <row r="54">
      <c r="A54" s="24" t="str">
        <f>IFERROR(__xludf.DUMMYFUNCTION("""COMPUTED_VALUE"""),"Educação Física e os desafios da inclusão")</f>
        <v>Educação Física e os desafios da inclusão</v>
      </c>
      <c r="B54" s="24" t="str">
        <f>IFERROR(__xludf.DUMMYFUNCTION("""COMPUTED_VALUE"""),"organizadores José Francisco Chicon, Graciele Massoli Rodrigues")</f>
        <v>organizadores José Francisco Chicon, Graciele Massoli Rodrigues</v>
      </c>
      <c r="C54" s="24" t="str">
        <f>IFERROR(__xludf.DUMMYFUNCTION("""COMPUTED_VALUE"""),"Vitória")</f>
        <v>Vitória</v>
      </c>
      <c r="D54" s="24" t="str">
        <f>IFERROR(__xludf.DUMMYFUNCTION("""COMPUTED_VALUE"""),"EDUFES")</f>
        <v>EDUFES</v>
      </c>
      <c r="E54" s="25">
        <f>IFERROR(__xludf.DUMMYFUNCTION("""COMPUTED_VALUE"""),2013.0)</f>
        <v>2013</v>
      </c>
      <c r="F54" s="24" t="str">
        <f>IFERROR(__xludf.DUMMYFUNCTION("""COMPUTED_VALUE"""),"Educação física; Educação inclusiva; Ensino")</f>
        <v>Educação física; Educação inclusiva; Ensino</v>
      </c>
      <c r="G54" s="28" t="str">
        <f>IFERROR(__xludf.DUMMYFUNCTION("""COMPUTED_VALUE"""),"9788577721276")</f>
        <v>9788577721276</v>
      </c>
      <c r="H54" s="29" t="str">
        <f>IFERROR(__xludf.DUMMYFUNCTION("""COMPUTED_VALUE"""),"http://repositorio.ufes.br/bitstream/10/787/1/livro%20edufes%20educa%C3%A7%C3%A3o%20f%C3%ADsica%20e%20os%20desafios%20da%20inclus%C3%A3o.pdf")</f>
        <v>http://repositorio.ufes.br/bitstream/10/787/1/livro%20edufes%20educa%C3%A7%C3%A3o%20f%C3%ADsica%20e%20os%20desafios%20da%20inclus%C3%A3o.pdf</v>
      </c>
      <c r="I54" s="24" t="str">
        <f>IFERROR(__xludf.DUMMYFUNCTION("""COMPUTED_VALUE"""),"Ciências da Saúde")</f>
        <v>Ciências da Saúde</v>
      </c>
    </row>
    <row r="55">
      <c r="A55" s="24" t="str">
        <f>IFERROR(__xludf.DUMMYFUNCTION("""COMPUTED_VALUE"""),"Educação Física Inclusiva: diferentes olhares sobre a inclusão social através da educação física e do esporte. vol. 3")</f>
        <v>Educação Física Inclusiva: diferentes olhares sobre a inclusão social através da educação física e do esporte. vol. 3</v>
      </c>
      <c r="B55" s="24" t="str">
        <f>IFERROR(__xludf.DUMMYFUNCTION("""COMPUTED_VALUE"""),"Cristina Panziera; Luciane Fraga; Nathan Ono de Carvalho (org.)")</f>
        <v>Cristina Panziera; Luciane Fraga; Nathan Ono de Carvalho (org.)</v>
      </c>
      <c r="C55" s="24" t="str">
        <f>IFERROR(__xludf.DUMMYFUNCTION("""COMPUTED_VALUE"""),"Porto Alegre, RS")</f>
        <v>Porto Alegre, RS</v>
      </c>
      <c r="D55" s="24" t="str">
        <f>IFERROR(__xludf.DUMMYFUNCTION("""COMPUTED_VALUE"""),"Editora Universitária Metodista")</f>
        <v>Editora Universitária Metodista</v>
      </c>
      <c r="E55" s="25">
        <f>IFERROR(__xludf.DUMMYFUNCTION("""COMPUTED_VALUE"""),2016.0)</f>
        <v>2016</v>
      </c>
      <c r="F55" s="24" t="str">
        <f>IFERROR(__xludf.DUMMYFUNCTION("""COMPUTED_VALUE"""),"Educação física. Inclusão social. Esporte")</f>
        <v>Educação física. Inclusão social. Esporte</v>
      </c>
      <c r="G55" s="28" t="str">
        <f>IFERROR(__xludf.DUMMYFUNCTION("""COMPUTED_VALUE"""),"9788589738474")</f>
        <v>9788589738474</v>
      </c>
      <c r="H55" s="29" t="str">
        <f>IFERROR(__xludf.DUMMYFUNCTION("""COMPUTED_VALUE"""),"http://editora.metodista.br/livros-gratis/EDUCACAOINCLUSIVA.pdf/at_download/file")</f>
        <v>http://editora.metodista.br/livros-gratis/EDUCACAOINCLUSIVA.pdf/at_download/file</v>
      </c>
      <c r="I55" s="24" t="str">
        <f>IFERROR(__xludf.DUMMYFUNCTION("""COMPUTED_VALUE"""),"Ciências da Saúde")</f>
        <v>Ciências da Saúde</v>
      </c>
    </row>
    <row r="56">
      <c r="A56" s="24" t="str">
        <f>IFERROR(__xludf.DUMMYFUNCTION("""COMPUTED_VALUE"""),"Educação Física, Corporeidade e Saúde")</f>
        <v>Educação Física, Corporeidade e Saúde</v>
      </c>
      <c r="B56" s="24" t="str">
        <f>IFERROR(__xludf.DUMMYFUNCTION("""COMPUTED_VALUE"""),"Manuel Pacheco Neto")</f>
        <v>Manuel Pacheco Neto</v>
      </c>
      <c r="C56" s="24" t="str">
        <f>IFERROR(__xludf.DUMMYFUNCTION("""COMPUTED_VALUE"""),"Dourados, MS")</f>
        <v>Dourados, MS</v>
      </c>
      <c r="D56" s="24" t="str">
        <f>IFERROR(__xludf.DUMMYFUNCTION("""COMPUTED_VALUE"""),"Ed. UFGD")</f>
        <v>Ed. UFGD</v>
      </c>
      <c r="E56" s="25">
        <f>IFERROR(__xludf.DUMMYFUNCTION("""COMPUTED_VALUE"""),2012.0)</f>
        <v>2012</v>
      </c>
      <c r="F56" s="24" t="str">
        <f>IFERROR(__xludf.DUMMYFUNCTION("""COMPUTED_VALUE"""),"Educação Física – Ensino; Corporeidade")</f>
        <v>Educação Física – Ensino; Corporeidade</v>
      </c>
      <c r="G56" s="28" t="str">
        <f>IFERROR(__xludf.DUMMYFUNCTION("""COMPUTED_VALUE"""),"9788581470245")</f>
        <v>9788581470245</v>
      </c>
      <c r="H56" s="29" t="str">
        <f>IFERROR(__xludf.DUMMYFUNCTION("""COMPUTED_VALUE"""),"http://omp.ufgd.edu.br/omp/index.php/livrosabertos/catalog/view/89/96/369-1")</f>
        <v>http://omp.ufgd.edu.br/omp/index.php/livrosabertos/catalog/view/89/96/369-1</v>
      </c>
      <c r="I56" s="24" t="str">
        <f>IFERROR(__xludf.DUMMYFUNCTION("""COMPUTED_VALUE"""),"Ciências da Saúde")</f>
        <v>Ciências da Saúde</v>
      </c>
    </row>
    <row r="57">
      <c r="A57" s="24" t="str">
        <f>IFERROR(__xludf.DUMMYFUNCTION("""COMPUTED_VALUE"""),"Educação Física: enfoques contemporâneo")</f>
        <v>Educação Física: enfoques contemporâneo</v>
      </c>
      <c r="B57" s="24" t="str">
        <f>IFERROR(__xludf.DUMMYFUNCTION("""COMPUTED_VALUE"""),"Alexandre Paulo Loro, Marina Vinha, Carlo Henrique Golin (org.)")</f>
        <v>Alexandre Paulo Loro, Marina Vinha, Carlo Henrique Golin (org.)</v>
      </c>
      <c r="C57" s="24" t="str">
        <f>IFERROR(__xludf.DUMMYFUNCTION("""COMPUTED_VALUE"""),"Dourados, MS")</f>
        <v>Dourados, MS</v>
      </c>
      <c r="D57" s="24" t="str">
        <f>IFERROR(__xludf.DUMMYFUNCTION("""COMPUTED_VALUE"""),"Ed. UFGD")</f>
        <v>Ed. UFGD</v>
      </c>
      <c r="E57" s="25">
        <f>IFERROR(__xludf.DUMMYFUNCTION("""COMPUTED_VALUE"""),2013.0)</f>
        <v>2013</v>
      </c>
      <c r="F57" s="24" t="str">
        <f>IFERROR(__xludf.DUMMYFUNCTION("""COMPUTED_VALUE"""),"Educação Física – Mato Grosso do Sul")</f>
        <v>Educação Física – Mato Grosso do Sul</v>
      </c>
      <c r="G57" s="28" t="str">
        <f>IFERROR(__xludf.DUMMYFUNCTION("""COMPUTED_VALUE"""),"9788581470535")</f>
        <v>9788581470535</v>
      </c>
      <c r="H57" s="29" t="str">
        <f>IFERROR(__xludf.DUMMYFUNCTION("""COMPUTED_VALUE"""),"http://omp.ufgd.edu.br/omp/index.php/livrosabertos/catalog/view/255/251/555-1")</f>
        <v>http://omp.ufgd.edu.br/omp/index.php/livrosabertos/catalog/view/255/251/555-1</v>
      </c>
      <c r="I57" s="24" t="str">
        <f>IFERROR(__xludf.DUMMYFUNCTION("""COMPUTED_VALUE"""),"Ciências da Saúde")</f>
        <v>Ciências da Saúde</v>
      </c>
    </row>
    <row r="58">
      <c r="A58" s="24" t="str">
        <f>IFERROR(__xludf.DUMMYFUNCTION("""COMPUTED_VALUE"""),"Educação, saúde e esporte: novos desafios à Educação Física")</f>
        <v>Educação, saúde e esporte: novos desafios à Educação Física</v>
      </c>
      <c r="B58" s="24" t="str">
        <f>IFERROR(__xludf.DUMMYFUNCTION("""COMPUTED_VALUE"""),"Gelcemar Oliveira Silva, Juarez Vieira do Nascimento. ")</f>
        <v>Gelcemar Oliveira Silva, Juarez Vieira do Nascimento. </v>
      </c>
      <c r="C58" s="24" t="str">
        <f>IFERROR(__xludf.DUMMYFUNCTION("""COMPUTED_VALUE"""),"Ilhéus, BA")</f>
        <v>Ilhéus, BA</v>
      </c>
      <c r="D58" s="24" t="str">
        <f>IFERROR(__xludf.DUMMYFUNCTION("""COMPUTED_VALUE"""),"Editus")</f>
        <v>Editus</v>
      </c>
      <c r="E58" s="25">
        <f>IFERROR(__xludf.DUMMYFUNCTION("""COMPUTED_VALUE"""),2016.0)</f>
        <v>2016</v>
      </c>
      <c r="F58" s="24" t="str">
        <f>IFERROR(__xludf.DUMMYFUNCTION("""COMPUTED_VALUE"""),"Educação Física - Estudo e ensino; Professores de; Educação Física - Formação")</f>
        <v>Educação Física - Estudo e ensino; Professores de; Educação Física - Formação</v>
      </c>
      <c r="G58" s="28" t="str">
        <f>IFERROR(__xludf.DUMMYFUNCTION("""COMPUTED_VALUE"""),"9788574554273")</f>
        <v>9788574554273</v>
      </c>
      <c r="H58" s="29" t="str">
        <f>IFERROR(__xludf.DUMMYFUNCTION("""COMPUTED_VALUE"""),"http://www.uesc.br/editora/livrosdigitais2016/educacao_saude_esporte.pdf")</f>
        <v>http://www.uesc.br/editora/livrosdigitais2016/educacao_saude_esporte.pdf</v>
      </c>
      <c r="I58" s="24" t="str">
        <f>IFERROR(__xludf.DUMMYFUNCTION("""COMPUTED_VALUE"""),"Ciências da Saúde")</f>
        <v>Ciências da Saúde</v>
      </c>
    </row>
    <row r="59">
      <c r="A59" s="24" t="str">
        <f>IFERROR(__xludf.DUMMYFUNCTION("""COMPUTED_VALUE"""),"Efetividade do direito à saúde: uma análise sob um contexto de crise financeira e constitucional")</f>
        <v>Efetividade do direito à saúde: uma análise sob um contexto de crise financeira e constitucional</v>
      </c>
      <c r="B59" s="24" t="str">
        <f>IFERROR(__xludf.DUMMYFUNCTION("""COMPUTED_VALUE"""),"Juliana de Oliveira")</f>
        <v>Juliana de Oliveira</v>
      </c>
      <c r="C59" s="24" t="str">
        <f>IFERROR(__xludf.DUMMYFUNCTION("""COMPUTED_VALUE"""),"Joaçaba")</f>
        <v>Joaçaba</v>
      </c>
      <c r="D59" s="24" t="str">
        <f>IFERROR(__xludf.DUMMYFUNCTION("""COMPUTED_VALUE"""),"Unoesc")</f>
        <v>Unoesc</v>
      </c>
      <c r="E59" s="25">
        <f>IFERROR(__xludf.DUMMYFUNCTION("""COMPUTED_VALUE"""),2017.0)</f>
        <v>2017</v>
      </c>
      <c r="F59" s="24" t="str">
        <f>IFERROR(__xludf.DUMMYFUNCTION("""COMPUTED_VALUE"""),"Direito à saúde, Princípio da efetividade,; Direitos fundamentais")</f>
        <v>Direito à saúde, Princípio da efetividade,; Direitos fundamentais</v>
      </c>
      <c r="G59" s="28" t="str">
        <f>IFERROR(__xludf.DUMMYFUNCTION("""COMPUTED_VALUE"""),"9788584221103")</f>
        <v>9788584221103</v>
      </c>
      <c r="H59" s="29" t="str">
        <f>IFERROR(__xludf.DUMMYFUNCTION("""COMPUTED_VALUE"""),"https://www.unoesc.edu.br/images/uploads/editora/Efetividade_do_direito_a_saude.pdf")</f>
        <v>https://www.unoesc.edu.br/images/uploads/editora/Efetividade_do_direito_a_saude.pdf</v>
      </c>
      <c r="I59" s="24" t="str">
        <f>IFERROR(__xludf.DUMMYFUNCTION("""COMPUTED_VALUE"""),"Ciências da Saúde")</f>
        <v>Ciências da Saúde</v>
      </c>
    </row>
    <row r="60">
      <c r="A60" s="24" t="str">
        <f>IFERROR(__xludf.DUMMYFUNCTION("""COMPUTED_VALUE"""),"Elaboração de géis e análise de estabilidade de medicamento")</f>
        <v>Elaboração de géis e análise de estabilidade de medicamento</v>
      </c>
      <c r="B60" s="24" t="str">
        <f>IFERROR(__xludf.DUMMYFUNCTION("""COMPUTED_VALUE"""),"Cilene Aparecida de Souza Melo; Robson José de Souza Domingues; Anderson Bentes de Lima")</f>
        <v>Cilene Aparecida de Souza Melo; Robson José de Souza Domingues; Anderson Bentes de Lima</v>
      </c>
      <c r="C60" s="24" t="str">
        <f>IFERROR(__xludf.DUMMYFUNCTION("""COMPUTED_VALUE"""),"Marabá")</f>
        <v>Marabá</v>
      </c>
      <c r="D60" s="24" t="str">
        <f>IFERROR(__xludf.DUMMYFUNCTION("""COMPUTED_VALUE"""),"UEPA")</f>
        <v>UEPA</v>
      </c>
      <c r="E60" s="25">
        <f>IFERROR(__xludf.DUMMYFUNCTION("""COMPUTED_VALUE"""),2018.0)</f>
        <v>2018</v>
      </c>
      <c r="F60" s="24" t="str">
        <f>IFERROR(__xludf.DUMMYFUNCTION("""COMPUTED_VALUE"""),"Matéria médica vegetal; Cicatrização de feridas; Medicamentos Administração")</f>
        <v>Matéria médica vegetal; Cicatrização de feridas; Medicamentos Administração</v>
      </c>
      <c r="G60" s="28" t="str">
        <f>IFERROR(__xludf.DUMMYFUNCTION("""COMPUTED_VALUE"""),"9788584580330")</f>
        <v>9788584580330</v>
      </c>
      <c r="H60" s="29" t="str">
        <f>IFERROR(__xludf.DUMMYFUNCTION("""COMPUTED_VALUE"""),"https://paginas.uepa.br/eduepa/wp-content/uploads/2019/06/MANUAL-BASICO-GEIS.pdf")</f>
        <v>https://paginas.uepa.br/eduepa/wp-content/uploads/2019/06/MANUAL-BASICO-GEIS.pdf</v>
      </c>
      <c r="I60" s="24" t="str">
        <f>IFERROR(__xludf.DUMMYFUNCTION("""COMPUTED_VALUE"""),"Ciências da Saúde")</f>
        <v>Ciências da Saúde</v>
      </c>
    </row>
    <row r="61">
      <c r="A61" s="24" t="str">
        <f>IFERROR(__xludf.DUMMYFUNCTION("""COMPUTED_VALUE"""),"Enfermagem Unoesc Joaçaba: trabalhos de conclusão de curso – 2009 a 2016")</f>
        <v>Enfermagem Unoesc Joaçaba: trabalhos de conclusão de curso – 2009 a 2016</v>
      </c>
      <c r="B61" s="24" t="str">
        <f>IFERROR(__xludf.DUMMYFUNCTION("""COMPUTED_VALUE"""),"Edésio Pacheco Duarte, Bruna Kruczewski, Eduardo Janir de Souza, Fabiana Meneghetti Dallacosta, Marcia Terezinha da Rocha Restelatto, Mariane Carolina de Almeida, Vilma Beltrame")</f>
        <v>Edésio Pacheco Duarte, Bruna Kruczewski, Eduardo Janir de Souza, Fabiana Meneghetti Dallacosta, Marcia Terezinha da Rocha Restelatto, Mariane Carolina de Almeida, Vilma Beltrame</v>
      </c>
      <c r="C61" s="24" t="str">
        <f>IFERROR(__xludf.DUMMYFUNCTION("""COMPUTED_VALUE"""),"Joaçaba")</f>
        <v>Joaçaba</v>
      </c>
      <c r="D61" s="24" t="str">
        <f>IFERROR(__xludf.DUMMYFUNCTION("""COMPUTED_VALUE"""),"Unoesc")</f>
        <v>Unoesc</v>
      </c>
      <c r="E61" s="25">
        <f>IFERROR(__xludf.DUMMYFUNCTION("""COMPUTED_VALUE"""),2017.0)</f>
        <v>2017</v>
      </c>
      <c r="F61" s="24" t="str">
        <f>IFERROR(__xludf.DUMMYFUNCTION("""COMPUTED_VALUE"""),"Enfermagem")</f>
        <v>Enfermagem</v>
      </c>
      <c r="G61" s="28" t="str">
        <f>IFERROR(__xludf.DUMMYFUNCTION("""COMPUTED_VALUE"""),"9788584221639")</f>
        <v>9788584221639</v>
      </c>
      <c r="H61" s="29" t="str">
        <f>IFERROR(__xludf.DUMMYFUNCTION("""COMPUTED_VALUE"""),"https://www.unoesc.edu.br/images/uploads/editora/Enfermagem_Unoesc_Joacaba_trabalhos_de.pdf")</f>
        <v>https://www.unoesc.edu.br/images/uploads/editora/Enfermagem_Unoesc_Joacaba_trabalhos_de.pdf</v>
      </c>
      <c r="I61" s="24" t="str">
        <f>IFERROR(__xludf.DUMMYFUNCTION("""COMPUTED_VALUE"""),"Ciências da Saúde")</f>
        <v>Ciências da Saúde</v>
      </c>
    </row>
    <row r="62">
      <c r="A62" s="24" t="str">
        <f>IFERROR(__xludf.DUMMYFUNCTION("""COMPUTED_VALUE"""),"Entre o Olho e o Olhar")</f>
        <v>Entre o Olho e o Olhar</v>
      </c>
      <c r="B62" s="24" t="str">
        <f>IFERROR(__xludf.DUMMYFUNCTION("""COMPUTED_VALUE"""),"Argus Vasconcelos de Almeida")</f>
        <v>Argus Vasconcelos de Almeida</v>
      </c>
      <c r="C62" s="24" t="str">
        <f>IFERROR(__xludf.DUMMYFUNCTION("""COMPUTED_VALUE"""),"Recife")</f>
        <v>Recife</v>
      </c>
      <c r="D62" s="24" t="str">
        <f>IFERROR(__xludf.DUMMYFUNCTION("""COMPUTED_VALUE"""),"Editora Universitária da UFRPE")</f>
        <v>Editora Universitária da UFRPE</v>
      </c>
      <c r="E62" s="25">
        <f>IFERROR(__xludf.DUMMYFUNCTION("""COMPUTED_VALUE"""),2013.0)</f>
        <v>2013</v>
      </c>
      <c r="F62" s="24" t="str">
        <f>IFERROR(__xludf.DUMMYFUNCTION("""COMPUTED_VALUE"""),"Olhos; Visão; Teorias ópticas; História; Cultura")</f>
        <v>Olhos; Visão; Teorias ópticas; História; Cultura</v>
      </c>
      <c r="G62" s="26"/>
      <c r="H62" s="29" t="str">
        <f>IFERROR(__xludf.DUMMYFUNCTION("""COMPUTED_VALUE"""),"https://www.dropbox.com/s/rf0yhu37ccpfjkb/Olhar.pdf")</f>
        <v>https://www.dropbox.com/s/rf0yhu37ccpfjkb/Olhar.pdf</v>
      </c>
      <c r="I62" s="24" t="str">
        <f>IFERROR(__xludf.DUMMYFUNCTION("""COMPUTED_VALUE"""),"Ciências da Saúde")</f>
        <v>Ciências da Saúde</v>
      </c>
    </row>
    <row r="63">
      <c r="A63" s="24" t="str">
        <f>IFERROR(__xludf.DUMMYFUNCTION("""COMPUTED_VALUE"""),"Epigenética aplicada à saúde e à doença: princípios fundamentais baseados em evidências atuais")</f>
        <v>Epigenética aplicada à saúde e à doença: princípios fundamentais baseados em evidências atuais</v>
      </c>
      <c r="B63" s="24" t="str">
        <f>IFERROR(__xludf.DUMMYFUNCTION("""COMPUTED_VALUE"""),"Viviane Rostirola Elsner; Ionara Rodrigues Siqueira (org.)")</f>
        <v>Viviane Rostirola Elsner; Ionara Rodrigues Siqueira (org.)</v>
      </c>
      <c r="C63" s="24" t="str">
        <f>IFERROR(__xludf.DUMMYFUNCTION("""COMPUTED_VALUE"""),"Porto Alegre, RS")</f>
        <v>Porto Alegre, RS</v>
      </c>
      <c r="D63" s="24" t="str">
        <f>IFERROR(__xludf.DUMMYFUNCTION("""COMPUTED_VALUE"""),"Editora Universitária Metodista")</f>
        <v>Editora Universitária Metodista</v>
      </c>
      <c r="E63" s="25">
        <f>IFERROR(__xludf.DUMMYFUNCTION("""COMPUTED_VALUE"""),2016.0)</f>
        <v>2016</v>
      </c>
      <c r="F63" s="24" t="str">
        <f>IFERROR(__xludf.DUMMYFUNCTION("""COMPUTED_VALUE"""),"Gene. Alteração. Epigenética. Consequência")</f>
        <v>Gene. Alteração. Epigenética. Consequência</v>
      </c>
      <c r="G63" s="28" t="str">
        <f>IFERROR(__xludf.DUMMYFUNCTION("""COMPUTED_VALUE"""),"9788599738481")</f>
        <v>9788599738481</v>
      </c>
      <c r="H63" s="29" t="str">
        <f>IFERROR(__xludf.DUMMYFUNCTION("""COMPUTED_VALUE"""),"http://editora.metodista.br/livros-gratis/EPIGENETICA%20APLICADA%20A%20SAUDE%20E%20A%20DOENCA.pdf/at_download/file")</f>
        <v>http://editora.metodista.br/livros-gratis/EPIGENETICA%20APLICADA%20A%20SAUDE%20E%20A%20DOENCA.pdf/at_download/file</v>
      </c>
      <c r="I63" s="24" t="str">
        <f>IFERROR(__xludf.DUMMYFUNCTION("""COMPUTED_VALUE"""),"Ciências da Saúde")</f>
        <v>Ciências da Saúde</v>
      </c>
    </row>
    <row r="64">
      <c r="A64" s="24" t="str">
        <f>IFERROR(__xludf.DUMMYFUNCTION("""COMPUTED_VALUE"""),"Espinhela Caída")</f>
        <v>Espinhela Caída</v>
      </c>
      <c r="B64" s="24" t="str">
        <f>IFERROR(__xludf.DUMMYFUNCTION("""COMPUTED_VALUE"""),"Argus Vasconcelos de Almeida")</f>
        <v>Argus Vasconcelos de Almeida</v>
      </c>
      <c r="C64" s="24" t="str">
        <f>IFERROR(__xludf.DUMMYFUNCTION("""COMPUTED_VALUE"""),"Recife")</f>
        <v>Recife</v>
      </c>
      <c r="D64" s="24" t="str">
        <f>IFERROR(__xludf.DUMMYFUNCTION("""COMPUTED_VALUE"""),"Editora Universitária da UFRPE")</f>
        <v>Editora Universitária da UFRPE</v>
      </c>
      <c r="E64" s="25">
        <f>IFERROR(__xludf.DUMMYFUNCTION("""COMPUTED_VALUE"""),2013.0)</f>
        <v>2013</v>
      </c>
      <c r="F64" s="24" t="str">
        <f>IFERROR(__xludf.DUMMYFUNCTION("""COMPUTED_VALUE"""),"Práticas de cura; Medicina popular; Medicina")</f>
        <v>Práticas de cura; Medicina popular; Medicina</v>
      </c>
      <c r="G64" s="26"/>
      <c r="H64" s="29" t="str">
        <f>IFERROR(__xludf.DUMMYFUNCTION("""COMPUTED_VALUE"""),"https://www.dropbox.com/s/8pgc8lcytuj3sk6/espinhela.pdf")</f>
        <v>https://www.dropbox.com/s/8pgc8lcytuj3sk6/espinhela.pdf</v>
      </c>
      <c r="I64" s="24" t="str">
        <f>IFERROR(__xludf.DUMMYFUNCTION("""COMPUTED_VALUE"""),"Ciências da Saúde")</f>
        <v>Ciências da Saúde</v>
      </c>
    </row>
    <row r="65">
      <c r="A65" s="24" t="str">
        <f>IFERROR(__xludf.DUMMYFUNCTION("""COMPUTED_VALUE"""),"Estudos socioculturais em alimentação e saúde: saberes em rede")</f>
        <v>Estudos socioculturais em alimentação e saúde: saberes em rede</v>
      </c>
      <c r="B65" s="24" t="str">
        <f>IFERROR(__xludf.DUMMYFUNCTION("""COMPUTED_VALUE"""),"Shirley Donizete Prado, Ligia Amparo-Santos, Luisa Ferreira da Silva, Mabel Gracia Arnaiz e Maria Lucia Magalhães Bosi")</f>
        <v>Shirley Donizete Prado, Ligia Amparo-Santos, Luisa Ferreira da Silva, Mabel Gracia Arnaiz e Maria Lucia Magalhães Bosi</v>
      </c>
      <c r="C65" s="24" t="str">
        <f>IFERROR(__xludf.DUMMYFUNCTION("""COMPUTED_VALUE"""),"Rio de Janeiro")</f>
        <v>Rio de Janeiro</v>
      </c>
      <c r="D65" s="24" t="str">
        <f>IFERROR(__xludf.DUMMYFUNCTION("""COMPUTED_VALUE"""),"EdUERJ")</f>
        <v>EdUERJ</v>
      </c>
      <c r="E65" s="25">
        <f>IFERROR(__xludf.DUMMYFUNCTION("""COMPUTED_VALUE"""),2016.0)</f>
        <v>2016</v>
      </c>
      <c r="F65" s="24" t="str">
        <f>IFERROR(__xludf.DUMMYFUNCTION("""COMPUTED_VALUE"""),"Dietas; Nutrição; Hábitos alimentares")</f>
        <v>Dietas; Nutrição; Hábitos alimentares</v>
      </c>
      <c r="G65" s="28" t="str">
        <f>IFERROR(__xludf.DUMMYFUNCTION("""COMPUTED_VALUE"""),"9788575114292")</f>
        <v>9788575114292</v>
      </c>
      <c r="H65" s="29" t="str">
        <f>IFERROR(__xludf.DUMMYFUNCTION("""COMPUTED_VALUE"""),"https://www.eduerj.com/eng/?product=estudos-socioculturais-em-alimentacao-e-saude-saberes-em-rede")</f>
        <v>https://www.eduerj.com/eng/?product=estudos-socioculturais-em-alimentacao-e-saude-saberes-em-rede</v>
      </c>
      <c r="I65" s="24" t="str">
        <f>IFERROR(__xludf.DUMMYFUNCTION("""COMPUTED_VALUE"""),"Ciências da Saúde")</f>
        <v>Ciências da Saúde</v>
      </c>
    </row>
    <row r="66">
      <c r="A66" s="24" t="str">
        <f>IFERROR(__xludf.DUMMYFUNCTION("""COMPUTED_VALUE"""),"Estudos socioculturais em alimentação e saúde: saberes em rede ")</f>
        <v>Estudos socioculturais em alimentação e saúde: saberes em rede </v>
      </c>
      <c r="B66" s="24" t="str">
        <f>IFERROR(__xludf.DUMMYFUNCTION("""COMPUTED_VALUE"""),"organização Shirley Donizete Prado ... (et al.).")</f>
        <v>organização Shirley Donizete Prado ... (et al.).</v>
      </c>
      <c r="C66" s="24" t="str">
        <f>IFERROR(__xludf.DUMMYFUNCTION("""COMPUTED_VALUE"""),"Rio de Janeiro, RJ")</f>
        <v>Rio de Janeiro, RJ</v>
      </c>
      <c r="D66" s="24" t="str">
        <f>IFERROR(__xludf.DUMMYFUNCTION("""COMPUTED_VALUE"""),"EdUERJ")</f>
        <v>EdUERJ</v>
      </c>
      <c r="E66" s="25">
        <f>IFERROR(__xludf.DUMMYFUNCTION("""COMPUTED_VALUE"""),2016.0)</f>
        <v>2016</v>
      </c>
      <c r="F66" s="24" t="str">
        <f>IFERROR(__xludf.DUMMYFUNCTION("""COMPUTED_VALUE"""),"Dietas; Nutrição; Hábitos alimentares")</f>
        <v>Dietas; Nutrição; Hábitos alimentares</v>
      </c>
      <c r="G66" s="28" t="str">
        <f>IFERROR(__xludf.DUMMYFUNCTION("""COMPUTED_VALUE"""),"9788575114292")</f>
        <v>9788575114292</v>
      </c>
      <c r="H66" s="29" t="str">
        <f>IFERROR(__xludf.DUMMYFUNCTION("""COMPUTED_VALUE"""),"https://static.scielo.org/scielobooks/37nz2/pdf/prado-9788575114568.pdf")</f>
        <v>https://static.scielo.org/scielobooks/37nz2/pdf/prado-9788575114568.pdf</v>
      </c>
      <c r="I66" s="24" t="str">
        <f>IFERROR(__xludf.DUMMYFUNCTION("""COMPUTED_VALUE"""),"Ciências da Saúde")</f>
        <v>Ciências da Saúde</v>
      </c>
    </row>
    <row r="67">
      <c r="A67" s="24" t="str">
        <f>IFERROR(__xludf.DUMMYFUNCTION("""COMPUTED_VALUE"""),"Eu controlo meu diabetes: guia adulto: orientações de pacientes da Universidade Federal de Juiz de Fora")</f>
        <v>Eu controlo meu diabetes: guia adulto: orientações de pacientes da Universidade Federal de Juiz de Fora</v>
      </c>
      <c r="B67" s="24" t="str">
        <f>IFERROR(__xludf.DUMMYFUNCTION("""COMPUTED_VALUE"""),"Mônica Barros Costa, (org.), Antonio Paulo André de Castro ... (et al.)")</f>
        <v>Mônica Barros Costa, (org.), Antonio Paulo André de Castro ... (et al.)</v>
      </c>
      <c r="C67" s="24" t="str">
        <f>IFERROR(__xludf.DUMMYFUNCTION("""COMPUTED_VALUE"""),"Juiz de Fora")</f>
        <v>Juiz de Fora</v>
      </c>
      <c r="D67" s="24" t="str">
        <f>IFERROR(__xludf.DUMMYFUNCTION("""COMPUTED_VALUE"""),"Editora UFJF")</f>
        <v>Editora UFJF</v>
      </c>
      <c r="E67" s="25">
        <f>IFERROR(__xludf.DUMMYFUNCTION("""COMPUTED_VALUE"""),2013.0)</f>
        <v>2013</v>
      </c>
      <c r="F67" s="24" t="str">
        <f>IFERROR(__xludf.DUMMYFUNCTION("""COMPUTED_VALUE"""),"Diabetes Mellitus, Educação em Saúde, Promoção da; saúde")</f>
        <v>Diabetes Mellitus, Educação em Saúde, Promoção da; saúde</v>
      </c>
      <c r="G67" s="28" t="str">
        <f>IFERROR(__xludf.DUMMYFUNCTION("""COMPUTED_VALUE"""),"9788576721789")</f>
        <v>9788576721789</v>
      </c>
      <c r="H67" s="29" t="str">
        <f>IFERROR(__xludf.DUMMYFUNCTION("""COMPUTED_VALUE"""),"http://www2.ufjf.br/editora/wp-content/uploads/sites/113/2018/02/eu_controlo_meu_diabetes_guia_adulto.pdf")</f>
        <v>http://www2.ufjf.br/editora/wp-content/uploads/sites/113/2018/02/eu_controlo_meu_diabetes_guia_adulto.pdf</v>
      </c>
      <c r="I67" s="24" t="str">
        <f>IFERROR(__xludf.DUMMYFUNCTION("""COMPUTED_VALUE"""),"Ciências da Saúde")</f>
        <v>Ciências da Saúde</v>
      </c>
    </row>
    <row r="68">
      <c r="A68" s="24" t="str">
        <f>IFERROR(__xludf.DUMMYFUNCTION("""COMPUTED_VALUE"""),"Fitoterapia racional: aspectos taxonômicos, agroecológicos, etnobotânicos e terapêuticos")</f>
        <v>Fitoterapia racional: aspectos taxonômicos, agroecológicos, etnobotânicos e terapêuticos</v>
      </c>
      <c r="B68" s="24" t="str">
        <f>IFERROR(__xludf.DUMMYFUNCTION("""COMPUTED_VALUE"""),"Rossato, Angela Erna; Pierini, Melânia de Mattia; Amaral, Patrícia de Aguiar; Santos, Roberto Recart dos; Citadini-Zanette, Vanilde")</f>
        <v>Rossato, Angela Erna; Pierini, Melânia de Mattia; Amaral, Patrícia de Aguiar; Santos, Roberto Recart dos; Citadini-Zanette, Vanilde</v>
      </c>
      <c r="C68" s="24" t="str">
        <f>IFERROR(__xludf.DUMMYFUNCTION("""COMPUTED_VALUE"""),"Criciúma")</f>
        <v>Criciúma</v>
      </c>
      <c r="D68" s="24" t="str">
        <f>IFERROR(__xludf.DUMMYFUNCTION("""COMPUTED_VALUE"""),"DIOESC")</f>
        <v>DIOESC</v>
      </c>
      <c r="E68" s="25">
        <f>IFERROR(__xludf.DUMMYFUNCTION("""COMPUTED_VALUE"""),2012.0)</f>
        <v>2012</v>
      </c>
      <c r="F68" s="24" t="str">
        <f>IFERROR(__xludf.DUMMYFUNCTION("""COMPUTED_VALUE"""),"Medicina alternativa; Plantas medicinais; Naturopatia; Matéria médica vegetal")</f>
        <v>Medicina alternativa; Plantas medicinais; Naturopatia; Matéria médica vegetal</v>
      </c>
      <c r="G68" s="28" t="str">
        <f>IFERROR(__xludf.DUMMYFUNCTION("""COMPUTED_VALUE"""),"9788564210523")</f>
        <v>9788564210523</v>
      </c>
      <c r="H68" s="29" t="str">
        <f>IFERROR(__xludf.DUMMYFUNCTION("""COMPUTED_VALUE"""),"http://repositorio.unesc.net/handle/1/1628")</f>
        <v>http://repositorio.unesc.net/handle/1/1628</v>
      </c>
      <c r="I68" s="24" t="str">
        <f>IFERROR(__xludf.DUMMYFUNCTION("""COMPUTED_VALUE"""),"Ciências da Saúde")</f>
        <v>Ciências da Saúde</v>
      </c>
    </row>
    <row r="69">
      <c r="A69" s="24" t="str">
        <f>IFERROR(__xludf.DUMMYFUNCTION("""COMPUTED_VALUE"""),"Formação em saúde: práticas e perspectivas no campo da saúde coletiva")</f>
        <v>Formação em saúde: práticas e perspectivas no campo da saúde coletiva</v>
      </c>
      <c r="B69" s="24" t="str">
        <f>IFERROR(__xludf.DUMMYFUNCTION("""COMPUTED_VALUE"""),"organizadoras, Francis Sodré, Maria Angélica Carvalho Andrade, Rita de Cássia Duarte Lima, Ana Claudia Pinheiro Garcia")</f>
        <v>organizadoras, Francis Sodré, Maria Angélica Carvalho Andrade, Rita de Cássia Duarte Lima, Ana Claudia Pinheiro Garcia</v>
      </c>
      <c r="C69" s="24" t="str">
        <f>IFERROR(__xludf.DUMMYFUNCTION("""COMPUTED_VALUE"""),"Vitória")</f>
        <v>Vitória</v>
      </c>
      <c r="D69" s="24" t="str">
        <f>IFERROR(__xludf.DUMMYFUNCTION("""COMPUTED_VALUE"""),"EDUFES")</f>
        <v>EDUFES</v>
      </c>
      <c r="E69" s="25">
        <f>IFERROR(__xludf.DUMMYFUNCTION("""COMPUTED_VALUE"""),2016.0)</f>
        <v>2016</v>
      </c>
      <c r="F69" s="24" t="str">
        <f>IFERROR(__xludf.DUMMYFUNCTION("""COMPUTED_VALUE"""),"Saúde Pública;Saúde Coletiva; Formação em saúde")</f>
        <v>Saúde Pública;Saúde Coletiva; Formação em saúde</v>
      </c>
      <c r="G69" s="28" t="str">
        <f>IFERROR(__xludf.DUMMYFUNCTION("""COMPUTED_VALUE"""),"9788577723393")</f>
        <v>9788577723393</v>
      </c>
      <c r="H69" s="29" t="str">
        <f>IFERROR(__xludf.DUMMYFUNCTION("""COMPUTED_VALUE"""),"http://repositorio.ufes.br/bitstream/10/6771/8/Forma%C3%A7%C3%A3o%20em%20Sa%C3%BAde.pdf")</f>
        <v>http://repositorio.ufes.br/bitstream/10/6771/8/Forma%C3%A7%C3%A3o%20em%20Sa%C3%BAde.pdf</v>
      </c>
      <c r="I69" s="24" t="str">
        <f>IFERROR(__xludf.DUMMYFUNCTION("""COMPUTED_VALUE"""),"Ciências da Saúde")</f>
        <v>Ciências da Saúde</v>
      </c>
    </row>
    <row r="70">
      <c r="A70" s="24" t="str">
        <f>IFERROR(__xludf.DUMMYFUNCTION("""COMPUTED_VALUE"""),"Formação Pedagógica de Preceptores do Ensino em Saúde")</f>
        <v>Formação Pedagógica de Preceptores do Ensino em Saúde</v>
      </c>
      <c r="B70" s="24" t="str">
        <f>IFERROR(__xludf.DUMMYFUNCTION("""COMPUTED_VALUE"""),"Victoria Maria Brant Ribeiro")</f>
        <v>Victoria Maria Brant Ribeiro</v>
      </c>
      <c r="C70" s="24" t="str">
        <f>IFERROR(__xludf.DUMMYFUNCTION("""COMPUTED_VALUE"""),"Juiz de Fora")</f>
        <v>Juiz de Fora</v>
      </c>
      <c r="D70" s="24" t="str">
        <f>IFERROR(__xludf.DUMMYFUNCTION("""COMPUTED_VALUE"""),"Editora UFJF")</f>
        <v>Editora UFJF</v>
      </c>
      <c r="E70" s="25">
        <f>IFERROR(__xludf.DUMMYFUNCTION("""COMPUTED_VALUE"""),2011.0)</f>
        <v>2011</v>
      </c>
      <c r="F70" s="24" t="str">
        <f>IFERROR(__xludf.DUMMYFUNCTION("""COMPUTED_VALUE"""),"Educação em saúde, Formação pedagogica")</f>
        <v>Educação em saúde, Formação pedagogica</v>
      </c>
      <c r="G70" s="28" t="str">
        <f>IFERROR(__xludf.DUMMYFUNCTION("""COMPUTED_VALUE"""),"9788576721147")</f>
        <v>9788576721147</v>
      </c>
      <c r="H70" s="29" t="str">
        <f>IFERROR(__xludf.DUMMYFUNCTION("""COMPUTED_VALUE"""),"http://www2.ufjf.br/editora/wp-content/uploads/sites/113/2018/02/formacao_pedagogica_de_preceptores_do_ensino_em_saude.pdf")</f>
        <v>http://www2.ufjf.br/editora/wp-content/uploads/sites/113/2018/02/formacao_pedagogica_de_preceptores_do_ensino_em_saude.pdf</v>
      </c>
      <c r="I70" s="24" t="str">
        <f>IFERROR(__xludf.DUMMYFUNCTION("""COMPUTED_VALUE"""),"Ciências da Saúde")</f>
        <v>Ciências da Saúde</v>
      </c>
    </row>
    <row r="71">
      <c r="A71" s="24" t="str">
        <f>IFERROR(__xludf.DUMMYFUNCTION("""COMPUTED_VALUE"""),"Formação Profissional para Atenção Básica e Conhecimento Geográfico")</f>
        <v>Formação Profissional para Atenção Básica e Conhecimento Geográfico</v>
      </c>
      <c r="B71" s="24" t="str">
        <f>IFERROR(__xludf.DUMMYFUNCTION("""COMPUTED_VALUE"""),"Eduardo Augusto Werneck Ribeiro. Ancelmo César Bezerra Vansconcelos")</f>
        <v>Eduardo Augusto Werneck Ribeiro. Ancelmo César Bezerra Vansconcelos</v>
      </c>
      <c r="C71" s="24" t="str">
        <f>IFERROR(__xludf.DUMMYFUNCTION("""COMPUTED_VALUE"""),"Blumenau")</f>
        <v>Blumenau</v>
      </c>
      <c r="D71" s="24" t="str">
        <f>IFERROR(__xludf.DUMMYFUNCTION("""COMPUTED_VALUE"""),"Instituto Federal Catarinense")</f>
        <v>Instituto Federal Catarinense</v>
      </c>
      <c r="E71" s="25">
        <f>IFERROR(__xludf.DUMMYFUNCTION("""COMPUTED_VALUE"""),2019.0)</f>
        <v>2019</v>
      </c>
      <c r="F71" s="24" t="str">
        <f>IFERROR(__xludf.DUMMYFUNCTION("""COMPUTED_VALUE"""),"Geografia. Ensino Superior. Educação em Saúde")</f>
        <v>Geografia. Ensino Superior. Educação em Saúde</v>
      </c>
      <c r="G71" s="28" t="str">
        <f>IFERROR(__xludf.DUMMYFUNCTION("""COMPUTED_VALUE"""),"9788556440358")</f>
        <v>9788556440358</v>
      </c>
      <c r="H71" s="29" t="str">
        <f>IFERROR(__xludf.DUMMYFUNCTION("""COMPUTED_VALUE"""),"https://editora.ifc.edu.br/2019/08/09/formacao-profissional-para-atencao-basica-e-conhecimento-geografico/")</f>
        <v>https://editora.ifc.edu.br/2019/08/09/formacao-profissional-para-atencao-basica-e-conhecimento-geografico/</v>
      </c>
      <c r="I71" s="24" t="str">
        <f>IFERROR(__xludf.DUMMYFUNCTION("""COMPUTED_VALUE"""),"Ciências da Saúde")</f>
        <v>Ciências da Saúde</v>
      </c>
    </row>
    <row r="72">
      <c r="A72" s="24" t="str">
        <f>IFERROR(__xludf.DUMMYFUNCTION("""COMPUTED_VALUE"""),"Fronteiras e saúde: experiências, vivências e possibilidades.")</f>
        <v>Fronteiras e saúde: experiências, vivências e possibilidades.</v>
      </c>
      <c r="B72" s="24" t="str">
        <f>IFERROR(__xludf.DUMMYFUNCTION("""COMPUTED_VALUE"""),"Cláudia Marques Roma, Alexandre Bergamin Vieira, Adeir Archanjo da Mota (org.) ")</f>
        <v>Cláudia Marques Roma, Alexandre Bergamin Vieira, Adeir Archanjo da Mota (org.) </v>
      </c>
      <c r="C72" s="24" t="str">
        <f>IFERROR(__xludf.DUMMYFUNCTION("""COMPUTED_VALUE"""),"Dourados, MS")</f>
        <v>Dourados, MS</v>
      </c>
      <c r="D72" s="24" t="str">
        <f>IFERROR(__xludf.DUMMYFUNCTION("""COMPUTED_VALUE"""),"Ed. UFGD")</f>
        <v>Ed. UFGD</v>
      </c>
      <c r="E72" s="25">
        <f>IFERROR(__xludf.DUMMYFUNCTION("""COMPUTED_VALUE"""),2020.0)</f>
        <v>2020</v>
      </c>
      <c r="F72" s="24" t="str">
        <f>IFERROR(__xludf.DUMMYFUNCTION("""COMPUTED_VALUE"""),"Geografia da saúde; Fronteiras; Políticas públicas; Saúde")</f>
        <v>Geografia da saúde; Fronteiras; Políticas públicas; Saúde</v>
      </c>
      <c r="G72" s="28" t="str">
        <f>IFERROR(__xludf.DUMMYFUNCTION("""COMPUTED_VALUE"""),"9788581471709")</f>
        <v>9788581471709</v>
      </c>
      <c r="H72" s="29" t="str">
        <f>IFERROR(__xludf.DUMMYFUNCTION("""COMPUTED_VALUE"""),"http://omp.ufgd.edu.br/omp/index.php/livrosabertos/catalog/view/330/261/2483-1")</f>
        <v>http://omp.ufgd.edu.br/omp/index.php/livrosabertos/catalog/view/330/261/2483-1</v>
      </c>
      <c r="I72" s="24" t="str">
        <f>IFERROR(__xludf.DUMMYFUNCTION("""COMPUTED_VALUE"""),"Ciências da Saúde")</f>
        <v>Ciências da Saúde</v>
      </c>
    </row>
    <row r="73">
      <c r="A73" s="24" t="str">
        <f>IFERROR(__xludf.DUMMYFUNCTION("""COMPUTED_VALUE"""),"Fundamentos e aplicação clínica em Ciências da Reabilitação")</f>
        <v>Fundamentos e aplicação clínica em Ciências da Reabilitação</v>
      </c>
      <c r="B73" s="24" t="str">
        <f>IFERROR(__xludf.DUMMYFUNCTION("""COMPUTED_VALUE"""),"Alcyr Alves de Oliveira Jr. Maria Cristina Cardoso (org.); ")</f>
        <v>Alcyr Alves de Oliveira Jr. Maria Cristina Cardoso (org.); </v>
      </c>
      <c r="C73" s="24" t="str">
        <f>IFERROR(__xludf.DUMMYFUNCTION("""COMPUTED_VALUE"""),"Porto Alegre")</f>
        <v>Porto Alegre</v>
      </c>
      <c r="D73" s="24" t="str">
        <f>IFERROR(__xludf.DUMMYFUNCTION("""COMPUTED_VALUE"""),"UFCSPA ")</f>
        <v>UFCSPA </v>
      </c>
      <c r="E73" s="25">
        <f>IFERROR(__xludf.DUMMYFUNCTION("""COMPUTED_VALUE"""),2019.0)</f>
        <v>2019</v>
      </c>
      <c r="F73" s="24" t="str">
        <f>IFERROR(__xludf.DUMMYFUNCTION("""COMPUTED_VALUE"""),"Reabilitação Fisiatria Modalidades de Fisioterapia")</f>
        <v>Reabilitação Fisiatria Modalidades de Fisioterapia</v>
      </c>
      <c r="G73" s="28" t="str">
        <f>IFERROR(__xludf.DUMMYFUNCTION("""COMPUTED_VALUE"""),"9788592652180")</f>
        <v>9788592652180</v>
      </c>
      <c r="H73" s="29" t="str">
        <f>IFERROR(__xludf.DUMMYFUNCTION("""COMPUTED_VALUE"""),"https://www.ufcspa.edu.br/editora_log/download.php?cod=011&amp;tipo=pdf")</f>
        <v>https://www.ufcspa.edu.br/editora_log/download.php?cod=011&amp;tipo=pdf</v>
      </c>
      <c r="I73" s="24" t="str">
        <f>IFERROR(__xludf.DUMMYFUNCTION("""COMPUTED_VALUE"""),"Ciências da Saúde")</f>
        <v>Ciências da Saúde</v>
      </c>
    </row>
    <row r="74">
      <c r="A74" s="24" t="str">
        <f>IFERROR(__xludf.DUMMYFUNCTION("""COMPUTED_VALUE"""),"Geografia e saúde: conceitos, teorias e metodologias. ")</f>
        <v>Geografia e saúde: conceitos, teorias e metodologias. </v>
      </c>
      <c r="B74" s="24" t="str">
        <f>IFERROR(__xludf.DUMMYFUNCTION("""COMPUTED_VALUE"""),"Cláudia Marques Roma, Alexandre Bergamin Vieira, Adeir Archanjo da Mota, Raul Borges Guimarães (org.) ")</f>
        <v>Cláudia Marques Roma, Alexandre Bergamin Vieira, Adeir Archanjo da Mota, Raul Borges Guimarães (org.) </v>
      </c>
      <c r="C74" s="24" t="str">
        <f>IFERROR(__xludf.DUMMYFUNCTION("""COMPUTED_VALUE"""),"Dourados, MS")</f>
        <v>Dourados, MS</v>
      </c>
      <c r="D74" s="24" t="str">
        <f>IFERROR(__xludf.DUMMYFUNCTION("""COMPUTED_VALUE"""),"Ed. UFGD")</f>
        <v>Ed. UFGD</v>
      </c>
      <c r="E74" s="25">
        <f>IFERROR(__xludf.DUMMYFUNCTION("""COMPUTED_VALUE"""),2020.0)</f>
        <v>2020</v>
      </c>
      <c r="F74" s="24" t="str">
        <f>IFERROR(__xludf.DUMMYFUNCTION("""COMPUTED_VALUE"""),"Geografia da saúde; Fronteiras; Políticas públicas; Saúde")</f>
        <v>Geografia da saúde; Fronteiras; Políticas públicas; Saúde</v>
      </c>
      <c r="G74" s="28" t="str">
        <f>IFERROR(__xludf.DUMMYFUNCTION("""COMPUTED_VALUE"""),"9788581471693")</f>
        <v>9788581471693</v>
      </c>
      <c r="H74" s="29" t="str">
        <f>IFERROR(__xludf.DUMMYFUNCTION("""COMPUTED_VALUE"""),"http://omp.ufgd.edu.br/omp/index.php/livrosabertos/catalog/view/329/260/2481-1")</f>
        <v>http://omp.ufgd.edu.br/omp/index.php/livrosabertos/catalog/view/329/260/2481-1</v>
      </c>
      <c r="I74" s="24" t="str">
        <f>IFERROR(__xludf.DUMMYFUNCTION("""COMPUTED_VALUE"""),"Ciências da Saúde")</f>
        <v>Ciências da Saúde</v>
      </c>
    </row>
    <row r="75">
      <c r="A75" s="24" t="str">
        <f>IFERROR(__xludf.DUMMYFUNCTION("""COMPUTED_VALUE"""),"Gestão da Assistência Farmacêutica: proposta para avaliação no contexto municipal: a experiência em Santa Catarina 2015")</f>
        <v>Gestão da Assistência Farmacêutica: proposta para avaliação no contexto municipal: a experiência em Santa Catarina 2015</v>
      </c>
      <c r="B75" s="24" t="str">
        <f>IFERROR(__xludf.DUMMYFUNCTION("""COMPUTED_VALUE"""),"Leite, Silvana Nair; Farias, Mareni Rocha;Manzini, Fernanda;Mendes, Samara Jamile;Rover, Marina Raijche Mattozo (org.)")</f>
        <v>Leite, Silvana Nair; Farias, Mareni Rocha;Manzini, Fernanda;Mendes, Samara Jamile;Rover, Marina Raijche Mattozo (org.)</v>
      </c>
      <c r="C75" s="24" t="str">
        <f>IFERROR(__xludf.DUMMYFUNCTION("""COMPUTED_VALUE"""),"Florianópolis")</f>
        <v>Florianópolis</v>
      </c>
      <c r="D75" s="24" t="str">
        <f>IFERROR(__xludf.DUMMYFUNCTION("""COMPUTED_VALUE"""),"Editora da UFSC")</f>
        <v>Editora da UFSC</v>
      </c>
      <c r="E75" s="25">
        <f>IFERROR(__xludf.DUMMYFUNCTION("""COMPUTED_VALUE"""),2015.0)</f>
        <v>2015</v>
      </c>
      <c r="F75" s="24" t="str">
        <f>IFERROR(__xludf.DUMMYFUNCTION("""COMPUTED_VALUE"""),"Farmácia;Saúde pública;Serviços de saúde;Santa Catarina")</f>
        <v>Farmácia;Saúde pública;Serviços de saúde;Santa Catarina</v>
      </c>
      <c r="G75" s="28" t="str">
        <f>IFERROR(__xludf.DUMMYFUNCTION("""COMPUTED_VALUE"""),"9788532807465")</f>
        <v>9788532807465</v>
      </c>
      <c r="H75" s="29" t="str">
        <f>IFERROR(__xludf.DUMMYFUNCTION("""COMPUTED_VALUE"""),"https://repositorio.ufsc.br/handle/123456789/187614")</f>
        <v>https://repositorio.ufsc.br/handle/123456789/187614</v>
      </c>
      <c r="I75" s="24" t="str">
        <f>IFERROR(__xludf.DUMMYFUNCTION("""COMPUTED_VALUE"""),"Ciências da Saúde")</f>
        <v>Ciências da Saúde</v>
      </c>
    </row>
    <row r="76">
      <c r="A76" s="24" t="str">
        <f>IFERROR(__xludf.DUMMYFUNCTION("""COMPUTED_VALUE"""),"Gestão do cuidado em saúde")</f>
        <v>Gestão do cuidado em saúde</v>
      </c>
      <c r="B76" s="24" t="str">
        <f>IFERROR(__xludf.DUMMYFUNCTION("""COMPUTED_VALUE"""),"Farias, Joni Márcio de; Ferraz, Fabiane; Ceretta, Luciane Bisognin; Simões, Priscyla Waleska; Volpato, Ana Maria Jesuino")</f>
        <v>Farias, Joni Márcio de; Ferraz, Fabiane; Ceretta, Luciane Bisognin; Simões, Priscyla Waleska; Volpato, Ana Maria Jesuino</v>
      </c>
      <c r="C76" s="24" t="str">
        <f>IFERROR(__xludf.DUMMYFUNCTION("""COMPUTED_VALUE"""),"Criciúma")</f>
        <v>Criciúma</v>
      </c>
      <c r="D76" s="24" t="str">
        <f>IFERROR(__xludf.DUMMYFUNCTION("""COMPUTED_VALUE"""),"UNESC")</f>
        <v>UNESC</v>
      </c>
      <c r="E76" s="25">
        <f>IFERROR(__xludf.DUMMYFUNCTION("""COMPUTED_VALUE"""),2016.0)</f>
        <v>2016</v>
      </c>
      <c r="F76" s="24" t="str">
        <f>IFERROR(__xludf.DUMMYFUNCTION("""COMPUTED_VALUE"""),"Saúde pública; Serviços de saúde comunitária; Promoção da saúde; Atenção básica à saúde; Assistência à saúde; Trabalho na saúde; Saúde coletiva; Epidemiologia; Educação em saúde; Gestão em saúde")</f>
        <v>Saúde pública; Serviços de saúde comunitária; Promoção da saúde; Atenção básica à saúde; Assistência à saúde; Trabalho na saúde; Saúde coletiva; Epidemiologia; Educação em saúde; Gestão em saúde</v>
      </c>
      <c r="G76" s="28" t="str">
        <f>IFERROR(__xludf.DUMMYFUNCTION("""COMPUTED_VALUE"""),"9788584100545")</f>
        <v>9788584100545</v>
      </c>
      <c r="H76" s="29" t="str">
        <f>IFERROR(__xludf.DUMMYFUNCTION("""COMPUTED_VALUE"""),"http://repositorio.unesc.net/handle/1/4283")</f>
        <v>http://repositorio.unesc.net/handle/1/4283</v>
      </c>
      <c r="I76" s="24" t="str">
        <f>IFERROR(__xludf.DUMMYFUNCTION("""COMPUTED_VALUE"""),"Ciências da Saúde")</f>
        <v>Ciências da Saúde</v>
      </c>
    </row>
    <row r="77">
      <c r="A77" s="24" t="str">
        <f>IFERROR(__xludf.DUMMYFUNCTION("""COMPUTED_VALUE"""),"GUIA PARA PROMOÇÃO DA SAÚDE DOS CUIDADORES DE IDOSO: tecnologia educacional sobre saúde ocupacional")</f>
        <v>GUIA PARA PROMOÇÃO DA SAÚDE DOS CUIDADORES DE IDOSO: tecnologia educacional sobre saúde ocupacional</v>
      </c>
      <c r="B77" s="24" t="str">
        <f>IFERROR(__xludf.DUMMYFUNCTION("""COMPUTED_VALUE"""),"Anderson Belmont de Correia; Edilene Araújo Monteiro")</f>
        <v>Anderson Belmont de Correia; Edilene Araújo Monteiro</v>
      </c>
      <c r="C77" s="24" t="str">
        <f>IFERROR(__xludf.DUMMYFUNCTION("""COMPUTED_VALUE"""),"João Pessoa")</f>
        <v>João Pessoa</v>
      </c>
      <c r="D77" s="24" t="str">
        <f>IFERROR(__xludf.DUMMYFUNCTION("""COMPUTED_VALUE"""),"Editora da UFPB")</f>
        <v>Editora da UFPB</v>
      </c>
      <c r="E77" s="25">
        <f>IFERROR(__xludf.DUMMYFUNCTION("""COMPUTED_VALUE"""),2020.0)</f>
        <v>2020</v>
      </c>
      <c r="F77" s="24" t="str">
        <f>IFERROR(__xludf.DUMMYFUNCTION("""COMPUTED_VALUE"""),"Saúde ocupacional. Autocuidado")</f>
        <v>Saúde ocupacional. Autocuidado</v>
      </c>
      <c r="G77" s="28" t="str">
        <f>IFERROR(__xludf.DUMMYFUNCTION("""COMPUTED_VALUE"""),"9788523715298")</f>
        <v>9788523715298</v>
      </c>
      <c r="H77" s="29" t="str">
        <f>IFERROR(__xludf.DUMMYFUNCTION("""COMPUTED_VALUE"""),"http://www.editora.ufpb.br/sistema/press5/index.php/UFPB/catalog/book/230")</f>
        <v>http://www.editora.ufpb.br/sistema/press5/index.php/UFPB/catalog/book/230</v>
      </c>
      <c r="I77" s="24" t="str">
        <f>IFERROR(__xludf.DUMMYFUNCTION("""COMPUTED_VALUE"""),"Ciências da Saúde")</f>
        <v>Ciências da Saúde</v>
      </c>
    </row>
    <row r="78">
      <c r="A78" s="24" t="str">
        <f>IFERROR(__xludf.DUMMYFUNCTION("""COMPUTED_VALUE"""),"Guia prático aplicado à Fisioterapia Aquática")</f>
        <v>Guia prático aplicado à Fisioterapia Aquática</v>
      </c>
      <c r="B78" s="24" t="str">
        <f>IFERROR(__xludf.DUMMYFUNCTION("""COMPUTED_VALUE"""),"Fernanda Cechetti Andressa Fiori Bortoli Fernanda Scalco Acco Karoline Baptista Vianna ")</f>
        <v>Fernanda Cechetti Andressa Fiori Bortoli Fernanda Scalco Acco Karoline Baptista Vianna </v>
      </c>
      <c r="C78" s="24" t="str">
        <f>IFERROR(__xludf.DUMMYFUNCTION("""COMPUTED_VALUE"""),"Porto Alegre")</f>
        <v>Porto Alegre</v>
      </c>
      <c r="D78" s="24" t="str">
        <f>IFERROR(__xludf.DUMMYFUNCTION("""COMPUTED_VALUE"""),"UFCSPA ")</f>
        <v>UFCSPA </v>
      </c>
      <c r="E78" s="25">
        <f>IFERROR(__xludf.DUMMYFUNCTION("""COMPUTED_VALUE"""),2019.0)</f>
        <v>2019</v>
      </c>
      <c r="F78" s="24" t="str">
        <f>IFERROR(__xludf.DUMMYFUNCTION("""COMPUTED_VALUE"""),"Fisioterapia Hidroterapia Exercícios aquáticos")</f>
        <v>Fisioterapia Hidroterapia Exercícios aquáticos</v>
      </c>
      <c r="G78" s="28" t="str">
        <f>IFERROR(__xludf.DUMMYFUNCTION("""COMPUTED_VALUE"""),"9788592652159")</f>
        <v>9788592652159</v>
      </c>
      <c r="H78" s="29" t="str">
        <f>IFERROR(__xludf.DUMMYFUNCTION("""COMPUTED_VALUE"""),"https://www.ufcspa.edu.br/editora_log/download.php?cod=010&amp;tipo=pdf")</f>
        <v>https://www.ufcspa.edu.br/editora_log/download.php?cod=010&amp;tipo=pdf</v>
      </c>
      <c r="I78" s="24" t="str">
        <f>IFERROR(__xludf.DUMMYFUNCTION("""COMPUTED_VALUE"""),"Ciências da Saúde")</f>
        <v>Ciências da Saúde</v>
      </c>
    </row>
    <row r="79">
      <c r="A79" s="24" t="str">
        <f>IFERROR(__xludf.DUMMYFUNCTION("""COMPUTED_VALUE"""),"Guia prático de hematologia: Liga Acadêmica de Hematologia da Região Carbonífera")</f>
        <v>Guia prático de hematologia: Liga Acadêmica de Hematologia da Região Carbonífera</v>
      </c>
      <c r="B79" s="24" t="str">
        <f>IFERROR(__xludf.DUMMYFUNCTION("""COMPUTED_VALUE"""),"Ricci, Vitor Hugo Parpinelli; Maman, Maria Julia Cavaler De")</f>
        <v>Ricci, Vitor Hugo Parpinelli; Maman, Maria Julia Cavaler De</v>
      </c>
      <c r="C79" s="24" t="str">
        <f>IFERROR(__xludf.DUMMYFUNCTION("""COMPUTED_VALUE"""),"Criciúma")</f>
        <v>Criciúma</v>
      </c>
      <c r="D79" s="24" t="str">
        <f>IFERROR(__xludf.DUMMYFUNCTION("""COMPUTED_VALUE"""),"UNESC")</f>
        <v>UNESC</v>
      </c>
      <c r="E79" s="25">
        <f>IFERROR(__xludf.DUMMYFUNCTION("""COMPUTED_VALUE"""),2019.0)</f>
        <v>2019</v>
      </c>
      <c r="F79" s="24" t="str">
        <f>IFERROR(__xludf.DUMMYFUNCTION("""COMPUTED_VALUE"""),"Hematologia; Anemia; Anemia ferropriva; Anemia megaloblástica; Anemias hemolíticas; Talassemias; Leucemia; Linfoma; Mieloma múltiplo; Sangue – Distúrbios da coagulação")</f>
        <v>Hematologia; Anemia; Anemia ferropriva; Anemia megaloblástica; Anemias hemolíticas; Talassemias; Leucemia; Linfoma; Mieloma múltiplo; Sangue – Distúrbios da coagulação</v>
      </c>
      <c r="G79" s="28" t="str">
        <f>IFERROR(__xludf.DUMMYFUNCTION("""COMPUTED_VALUE"""),"9788584101214")</f>
        <v>9788584101214</v>
      </c>
      <c r="H79" s="29" t="str">
        <f>IFERROR(__xludf.DUMMYFUNCTION("""COMPUTED_VALUE"""),"http://dx.doi.org/10.18616/hema")</f>
        <v>http://dx.doi.org/10.18616/hema</v>
      </c>
      <c r="I79" s="24" t="str">
        <f>IFERROR(__xludf.DUMMYFUNCTION("""COMPUTED_VALUE"""),"Ciências da Saúde")</f>
        <v>Ciências da Saúde</v>
      </c>
    </row>
    <row r="80">
      <c r="A80" s="24" t="str">
        <f>IFERROR(__xludf.DUMMYFUNCTION("""COMPUTED_VALUE"""),"Guia prático de preparação física para futebol Sub-17 e Sub-20: como fazer quando não se tem como fazer")</f>
        <v>Guia prático de preparação física para futebol Sub-17 e Sub-20: como fazer quando não se tem como fazer</v>
      </c>
      <c r="B80" s="24" t="str">
        <f>IFERROR(__xludf.DUMMYFUNCTION("""COMPUTED_VALUE"""),"Delavi, Rafael")</f>
        <v>Delavi, Rafael</v>
      </c>
      <c r="C80" s="24" t="str">
        <f>IFERROR(__xludf.DUMMYFUNCTION("""COMPUTED_VALUE"""),"Porto Alegre, RS")</f>
        <v>Porto Alegre, RS</v>
      </c>
      <c r="D80" s="24" t="str">
        <f>IFERROR(__xludf.DUMMYFUNCTION("""COMPUTED_VALUE"""),"Editora Universitária Metodista")</f>
        <v>Editora Universitária Metodista</v>
      </c>
      <c r="E80" s="25">
        <f>IFERROR(__xludf.DUMMYFUNCTION("""COMPUTED_VALUE"""),2016.0)</f>
        <v>2016</v>
      </c>
      <c r="F80" s="24" t="str">
        <f>IFERROR(__xludf.DUMMYFUNCTION("""COMPUTED_VALUE"""),"Futebol. Treinamento Físico. Categorias de Base. Adaptação. Jogador de Futebol. Preparação Física")</f>
        <v>Futebol. Treinamento Físico. Categorias de Base. Adaptação. Jogador de Futebol. Preparação Física</v>
      </c>
      <c r="G80" s="28" t="str">
        <f>IFERROR(__xludf.DUMMYFUNCTION("""COMPUTED_VALUE"""),"9788599738498")</f>
        <v>9788599738498</v>
      </c>
      <c r="H80" s="29" t="str">
        <f>IFERROR(__xludf.DUMMYFUNCTION("""COMPUTED_VALUE"""),"http://editora.metodista.br/livros-gratis/futebol1-11-2016.pdf/at_download/file")</f>
        <v>http://editora.metodista.br/livros-gratis/futebol1-11-2016.pdf/at_download/file</v>
      </c>
      <c r="I80" s="24" t="str">
        <f>IFERROR(__xludf.DUMMYFUNCTION("""COMPUTED_VALUE"""),"Ciências da Saúde")</f>
        <v>Ciências da Saúde</v>
      </c>
    </row>
    <row r="81">
      <c r="A81" s="24" t="str">
        <f>IFERROR(__xludf.DUMMYFUNCTION("""COMPUTED_VALUE"""),"História da Clínica Ortopédica e Traumatológica da Universidade Federal do Paraná: 1912-2012")</f>
        <v>História da Clínica Ortopédica e Traumatológica da Universidade Federal do Paraná: 1912-2012</v>
      </c>
      <c r="B81" s="24" t="str">
        <f>IFERROR(__xludf.DUMMYFUNCTION("""COMPUTED_VALUE"""),"Preuss, Antonio Osny")</f>
        <v>Preuss, Antonio Osny</v>
      </c>
      <c r="C81" s="24" t="str">
        <f>IFERROR(__xludf.DUMMYFUNCTION("""COMPUTED_VALUE"""),"Curitiba")</f>
        <v>Curitiba</v>
      </c>
      <c r="D81" s="24" t="str">
        <f>IFERROR(__xludf.DUMMYFUNCTION("""COMPUTED_VALUE"""),"UFPR")</f>
        <v>UFPR</v>
      </c>
      <c r="E81" s="25">
        <f>IFERROR(__xludf.DUMMYFUNCTION("""COMPUTED_VALUE"""),2016.0)</f>
        <v>2016</v>
      </c>
      <c r="F81" s="24" t="str">
        <f>IFERROR(__xludf.DUMMYFUNCTION("""COMPUTED_VALUE"""),"Universidade Federal do Paraná. Hospital de Clínicas - História; Ortopedia - Paraná - História; Traumatologia - Paraná - História")</f>
        <v>Universidade Federal do Paraná. Hospital de Clínicas - História; Ortopedia - Paraná - História; Traumatologia - Paraná - História</v>
      </c>
      <c r="G81" s="28" t="str">
        <f>IFERROR(__xludf.DUMMYFUNCTION("""COMPUTED_VALUE"""),"9788584800735")</f>
        <v>9788584800735</v>
      </c>
      <c r="H81" s="29" t="str">
        <f>IFERROR(__xludf.DUMMYFUNCTION("""COMPUTED_VALUE"""),"https://hdl.handle.net/1884/63936")</f>
        <v>https://hdl.handle.net/1884/63936</v>
      </c>
      <c r="I81" s="24" t="str">
        <f>IFERROR(__xludf.DUMMYFUNCTION("""COMPUTED_VALUE"""),"Ciências da Saúde")</f>
        <v>Ciências da Saúde</v>
      </c>
    </row>
    <row r="82">
      <c r="A82" s="24" t="str">
        <f>IFERROR(__xludf.DUMMYFUNCTION("""COMPUTED_VALUE"""),"História, ciência, saúde e educação: a institucionalização da ciência médica e a Faculdade de Medicina do Paraná (1912-1946)")</f>
        <v>História, ciência, saúde e educação: a institucionalização da ciência médica e a Faculdade de Medicina do Paraná (1912-1946)</v>
      </c>
      <c r="B82" s="24" t="str">
        <f>IFERROR(__xludf.DUMMYFUNCTION("""COMPUTED_VALUE"""),"Cintra, Erica Piovam de Ulhoa")</f>
        <v>Cintra, Erica Piovam de Ulhoa</v>
      </c>
      <c r="C82" s="24" t="str">
        <f>IFERROR(__xludf.DUMMYFUNCTION("""COMPUTED_VALUE"""),"Curitiba")</f>
        <v>Curitiba</v>
      </c>
      <c r="D82" s="24" t="str">
        <f>IFERROR(__xludf.DUMMYFUNCTION("""COMPUTED_VALUE"""),"UFPR")</f>
        <v>UFPR</v>
      </c>
      <c r="E82" s="25">
        <f>IFERROR(__xludf.DUMMYFUNCTION("""COMPUTED_VALUE"""),2014.0)</f>
        <v>2014</v>
      </c>
      <c r="F82" s="24" t="str">
        <f>IFERROR(__xludf.DUMMYFUNCTION("""COMPUTED_VALUE"""),"Medicina - Estudo e ensino; Pedagogia")</f>
        <v>Medicina - Estudo e ensino; Pedagogia</v>
      </c>
      <c r="G82" s="26"/>
      <c r="H82" s="29" t="str">
        <f>IFERROR(__xludf.DUMMYFUNCTION("""COMPUTED_VALUE"""),"https://hdl.handle.net/1884/63937")</f>
        <v>https://hdl.handle.net/1884/63937</v>
      </c>
      <c r="I82" s="24" t="str">
        <f>IFERROR(__xludf.DUMMYFUNCTION("""COMPUTED_VALUE"""),"Ciências da Saúde")</f>
        <v>Ciências da Saúde</v>
      </c>
    </row>
    <row r="83">
      <c r="A83" s="24" t="str">
        <f>IFERROR(__xludf.DUMMYFUNCTION("""COMPUTED_VALUE"""),"Homeopatia e Saúde: do reducionismo ao sistêmico")</f>
        <v>Homeopatia e Saúde: do reducionismo ao sistêmico</v>
      </c>
      <c r="B83" s="24" t="str">
        <f>IFERROR(__xludf.DUMMYFUNCTION("""COMPUTED_VALUE"""),"Gilberto Ribeiro Vieira")</f>
        <v>Gilberto Ribeiro Vieira</v>
      </c>
      <c r="C83" s="24" t="str">
        <f>IFERROR(__xludf.DUMMYFUNCTION("""COMPUTED_VALUE"""),"Rio Branco")</f>
        <v>Rio Branco</v>
      </c>
      <c r="D83" s="24" t="str">
        <f>IFERROR(__xludf.DUMMYFUNCTION("""COMPUTED_VALUE"""),"Edufac")</f>
        <v>Edufac</v>
      </c>
      <c r="E83" s="25">
        <f>IFERROR(__xludf.DUMMYFUNCTION("""COMPUTED_VALUE"""),2013.0)</f>
        <v>2013</v>
      </c>
      <c r="F83" s="24" t="str">
        <f>IFERROR(__xludf.DUMMYFUNCTION("""COMPUTED_VALUE"""),"Medicina e Saúde; Homeopatia")</f>
        <v>Medicina e Saúde; Homeopatia</v>
      </c>
      <c r="G83" s="28" t="str">
        <f>IFERROR(__xludf.DUMMYFUNCTION("""COMPUTED_VALUE"""),"9788582360071")</f>
        <v>9788582360071</v>
      </c>
      <c r="H83" s="29" t="str">
        <f>IFERROR(__xludf.DUMMYFUNCTION("""COMPUTED_VALUE"""),"http://www2.ufac.br/editora/livros/homeopatia-e-saude-do-reducionismo-ao-sistemico.pdf")</f>
        <v>http://www2.ufac.br/editora/livros/homeopatia-e-saude-do-reducionismo-ao-sistemico.pdf</v>
      </c>
      <c r="I83" s="24" t="str">
        <f>IFERROR(__xludf.DUMMYFUNCTION("""COMPUTED_VALUE"""),"Ciências da Saúde")</f>
        <v>Ciências da Saúde</v>
      </c>
    </row>
    <row r="84">
      <c r="A84" s="24" t="str">
        <f>IFERROR(__xludf.DUMMYFUNCTION("""COMPUTED_VALUE"""),"HUPE – Série Rotinas Hospitalares – Vol II – Procedimentos de Enfermagem")</f>
        <v>HUPE – Série Rotinas Hospitalares – Vol II – Procedimentos de Enfermagem</v>
      </c>
      <c r="B84" s="24" t="str">
        <f>IFERROR(__xludf.DUMMYFUNCTION("""COMPUTED_VALUE"""),"Rogério M. de Souza, Luciana G. Assad, Andreia F. da Paz (coordenadores) Roberto Alves Lourenço (editor da série)")</f>
        <v>Rogério M. de Souza, Luciana G. Assad, Andreia F. da Paz (coordenadores) Roberto Alves Lourenço (editor da série)</v>
      </c>
      <c r="C84" s="24" t="str">
        <f>IFERROR(__xludf.DUMMYFUNCTION("""COMPUTED_VALUE"""),"Rio de Janeiro")</f>
        <v>Rio de Janeiro</v>
      </c>
      <c r="D84" s="24" t="str">
        <f>IFERROR(__xludf.DUMMYFUNCTION("""COMPUTED_VALUE"""),"EdUERJ")</f>
        <v>EdUERJ</v>
      </c>
      <c r="E84" s="25">
        <f>IFERROR(__xludf.DUMMYFUNCTION("""COMPUTED_VALUE"""),2015.0)</f>
        <v>2015</v>
      </c>
      <c r="F84" s="24" t="str">
        <f>IFERROR(__xludf.DUMMYFUNCTION("""COMPUTED_VALUE"""),"Enfermagem; Rotina hospitalar; Procedimentos de enfermagem")</f>
        <v>Enfermagem; Rotina hospitalar; Procedimentos de enfermagem</v>
      </c>
      <c r="G84" s="28" t="str">
        <f>IFERROR(__xludf.DUMMYFUNCTION("""COMPUTED_VALUE"""),"9788561175498")</f>
        <v>9788561175498</v>
      </c>
      <c r="H84" s="29" t="str">
        <f>IFERROR(__xludf.DUMMYFUNCTION("""COMPUTED_VALUE"""),"https://www.eduerj.com/eng/?product=hupe-serie-rotinas-hospitalares-vol-ii-procedimentos-de-enfermagem")</f>
        <v>https://www.eduerj.com/eng/?product=hupe-serie-rotinas-hospitalares-vol-ii-procedimentos-de-enfermagem</v>
      </c>
      <c r="I84" s="24" t="str">
        <f>IFERROR(__xludf.DUMMYFUNCTION("""COMPUTED_VALUE"""),"Ciências da Saúde")</f>
        <v>Ciências da Saúde</v>
      </c>
    </row>
    <row r="85">
      <c r="A85" s="24" t="str">
        <f>IFERROR(__xludf.DUMMYFUNCTION("""COMPUTED_VALUE"""),"HUPE – Série Rotinas Hospitalares Vol III – Oncologia")</f>
        <v>HUPE – Série Rotinas Hospitalares Vol III – Oncologia</v>
      </c>
      <c r="B85" s="24" t="str">
        <f>IFERROR(__xludf.DUMMYFUNCTION("""COMPUTED_VALUE"""),"Maria Helena Faria Ornellas de Souza, Kátia Regina Xavier da Silva, Ana Patrícia da Silva (coordenadores) Roberto Alves Lourenço (editor da série)")</f>
        <v>Maria Helena Faria Ornellas de Souza, Kátia Regina Xavier da Silva, Ana Patrícia da Silva (coordenadores) Roberto Alves Lourenço (editor da série)</v>
      </c>
      <c r="C85" s="24" t="str">
        <f>IFERROR(__xludf.DUMMYFUNCTION("""COMPUTED_VALUE"""),"Rio de Janeiro")</f>
        <v>Rio de Janeiro</v>
      </c>
      <c r="D85" s="24" t="str">
        <f>IFERROR(__xludf.DUMMYFUNCTION("""COMPUTED_VALUE"""),"EdUERJ")</f>
        <v>EdUERJ</v>
      </c>
      <c r="E85" s="25">
        <f>IFERROR(__xludf.DUMMYFUNCTION("""COMPUTED_VALUE"""),2016.0)</f>
        <v>2016</v>
      </c>
      <c r="F85" s="24" t="str">
        <f>IFERROR(__xludf.DUMMYFUNCTION("""COMPUTED_VALUE"""),"Rotina hospitalar; Oncologia; Prática hospitalar")</f>
        <v>Rotina hospitalar; Oncologia; Prática hospitalar</v>
      </c>
      <c r="G85" s="28" t="str">
        <f>IFERROR(__xludf.DUMMYFUNCTION("""COMPUTED_VALUE"""),"9788561175634")</f>
        <v>9788561175634</v>
      </c>
      <c r="H85" s="29" t="str">
        <f>IFERROR(__xludf.DUMMYFUNCTION("""COMPUTED_VALUE"""),"https://www.eduerj.com/eng/?product=hupe-serie-rotinas-hospitalares-vol-iii-oncologia")</f>
        <v>https://www.eduerj.com/eng/?product=hupe-serie-rotinas-hospitalares-vol-iii-oncologia</v>
      </c>
      <c r="I85" s="24" t="str">
        <f>IFERROR(__xludf.DUMMYFUNCTION("""COMPUTED_VALUE"""),"Ciências da Saúde")</f>
        <v>Ciências da Saúde</v>
      </c>
    </row>
    <row r="86">
      <c r="A86" s="24" t="str">
        <f>IFERROR(__xludf.DUMMYFUNCTION("""COMPUTED_VALUE"""),"HUPE – Série Rotinas Hospitalares Vol IV – Pediatria - Parte 2")</f>
        <v>HUPE – Série Rotinas Hospitalares Vol IV – Pediatria - Parte 2</v>
      </c>
      <c r="B86" s="24" t="str">
        <f>IFERROR(__xludf.DUMMYFUNCTION("""COMPUTED_VALUE"""),"Isabel Rey Madeira, Luciana Maria B. da Matta Souza (coordenadores) Roberto Alves Lourenço (editor da série)")</f>
        <v>Isabel Rey Madeira, Luciana Maria B. da Matta Souza (coordenadores) Roberto Alves Lourenço (editor da série)</v>
      </c>
      <c r="C86" s="24" t="str">
        <f>IFERROR(__xludf.DUMMYFUNCTION("""COMPUTED_VALUE"""),"Rio de Janeiro")</f>
        <v>Rio de Janeiro</v>
      </c>
      <c r="D86" s="24" t="str">
        <f>IFERROR(__xludf.DUMMYFUNCTION("""COMPUTED_VALUE"""),"EdUERJ")</f>
        <v>EdUERJ</v>
      </c>
      <c r="E86" s="25">
        <f>IFERROR(__xludf.DUMMYFUNCTION("""COMPUTED_VALUE"""),2017.0)</f>
        <v>2017</v>
      </c>
      <c r="F86" s="24" t="str">
        <f>IFERROR(__xludf.DUMMYFUNCTION("""COMPUTED_VALUE"""),"Rotina hospitalar; Pediatria; Prática clínica")</f>
        <v>Rotina hospitalar; Pediatria; Prática clínica</v>
      </c>
      <c r="G86" s="28" t="str">
        <f>IFERROR(__xludf.DUMMYFUNCTION("""COMPUTED_VALUE"""),"9788561175696")</f>
        <v>9788561175696</v>
      </c>
      <c r="H86" s="29" t="str">
        <f>IFERROR(__xludf.DUMMYFUNCTION("""COMPUTED_VALUE"""),"https://www.eduerj.com/eng/?product=hupe-serie-rotinas-hospitalares-vol-iv-pediatria-parte-2")</f>
        <v>https://www.eduerj.com/eng/?product=hupe-serie-rotinas-hospitalares-vol-iv-pediatria-parte-2</v>
      </c>
      <c r="I86" s="24" t="str">
        <f>IFERROR(__xludf.DUMMYFUNCTION("""COMPUTED_VALUE"""),"Ciências da Saúde")</f>
        <v>Ciências da Saúde</v>
      </c>
    </row>
    <row r="87">
      <c r="A87" s="24" t="str">
        <f>IFERROR(__xludf.DUMMYFUNCTION("""COMPUTED_VALUE"""),"HUPE – Série Rotinas Hospitalares Vol IV – Pediatria – Parte 1")</f>
        <v>HUPE – Série Rotinas Hospitalares Vol IV – Pediatria – Parte 1</v>
      </c>
      <c r="B87" s="24" t="str">
        <f>IFERROR(__xludf.DUMMYFUNCTION("""COMPUTED_VALUE"""),"Isabel Rey Madeira, Luciana Maria B. da Matta Souza (coordenadores) Roberto Alves Lourenço (editor da série)")</f>
        <v>Isabel Rey Madeira, Luciana Maria B. da Matta Souza (coordenadores) Roberto Alves Lourenço (editor da série)</v>
      </c>
      <c r="C87" s="24" t="str">
        <f>IFERROR(__xludf.DUMMYFUNCTION("""COMPUTED_VALUE"""),"Rio de Janeiro")</f>
        <v>Rio de Janeiro</v>
      </c>
      <c r="D87" s="24" t="str">
        <f>IFERROR(__xludf.DUMMYFUNCTION("""COMPUTED_VALUE"""),"EdUERJ")</f>
        <v>EdUERJ</v>
      </c>
      <c r="E87" s="25">
        <f>IFERROR(__xludf.DUMMYFUNCTION("""COMPUTED_VALUE"""),2017.0)</f>
        <v>2017</v>
      </c>
      <c r="F87" s="24" t="str">
        <f>IFERROR(__xludf.DUMMYFUNCTION("""COMPUTED_VALUE"""),"Rotina hospitalar; Pediatria; Prática clínica")</f>
        <v>Rotina hospitalar; Pediatria; Prática clínica</v>
      </c>
      <c r="G87" s="28" t="str">
        <f>IFERROR(__xludf.DUMMYFUNCTION("""COMPUTED_VALUE"""),"9788561175672")</f>
        <v>9788561175672</v>
      </c>
      <c r="H87" s="29" t="str">
        <f>IFERROR(__xludf.DUMMYFUNCTION("""COMPUTED_VALUE"""),"https://www.eduerj.com/eng/?product=hupe-serie-rotinas-hospitalares-vol-iv-pediatria")</f>
        <v>https://www.eduerj.com/eng/?product=hupe-serie-rotinas-hospitalares-vol-iv-pediatria</v>
      </c>
      <c r="I87" s="24" t="str">
        <f>IFERROR(__xludf.DUMMYFUNCTION("""COMPUTED_VALUE"""),"Ciências da Saúde")</f>
        <v>Ciências da Saúde</v>
      </c>
    </row>
    <row r="88">
      <c r="A88" s="24" t="str">
        <f>IFERROR(__xludf.DUMMYFUNCTION("""COMPUTED_VALUE"""),"HUPE – Série Rotinas Hospitalares: Geriatria - Volumes VI e VII")</f>
        <v>HUPE – Série Rotinas Hospitalares: Geriatria - Volumes VI e VII</v>
      </c>
      <c r="B88" s="24" t="str">
        <f>IFERROR(__xludf.DUMMYFUNCTION("""COMPUTED_VALUE"""),"Roberto Alves Lourenço, Carlos Montes Paixão Junior, Maria Angélica dos Santos Sanchez (coordenadores) Roberto Alves Lourenço (editor da série)")</f>
        <v>Roberto Alves Lourenço, Carlos Montes Paixão Junior, Maria Angélica dos Santos Sanchez (coordenadores) Roberto Alves Lourenço (editor da série)</v>
      </c>
      <c r="C88" s="24" t="str">
        <f>IFERROR(__xludf.DUMMYFUNCTION("""COMPUTED_VALUE"""),"Rio de Janeiro")</f>
        <v>Rio de Janeiro</v>
      </c>
      <c r="D88" s="24" t="str">
        <f>IFERROR(__xludf.DUMMYFUNCTION("""COMPUTED_VALUE"""),"EdUERJ")</f>
        <v>EdUERJ</v>
      </c>
      <c r="E88" s="25">
        <f>IFERROR(__xludf.DUMMYFUNCTION("""COMPUTED_VALUE"""),2019.0)</f>
        <v>2019</v>
      </c>
      <c r="F88" s="24" t="str">
        <f>IFERROR(__xludf.DUMMYFUNCTION("""COMPUTED_VALUE"""),"Rotina hospitalar; Geriatria")</f>
        <v>Rotina hospitalar; Geriatria</v>
      </c>
      <c r="G88" s="26"/>
      <c r="H88" s="29" t="str">
        <f>IFERROR(__xludf.DUMMYFUNCTION("""COMPUTED_VALUE"""),"https://www.eduerj.com/eng/?product=hupe-serie-rotinas-hospitalares-geriatria")</f>
        <v>https://www.eduerj.com/eng/?product=hupe-serie-rotinas-hospitalares-geriatria</v>
      </c>
      <c r="I88" s="24" t="str">
        <f>IFERROR(__xludf.DUMMYFUNCTION("""COMPUTED_VALUE"""),"Ciências da Saúde")</f>
        <v>Ciências da Saúde</v>
      </c>
    </row>
    <row r="89">
      <c r="A89" s="24" t="str">
        <f>IFERROR(__xludf.DUMMYFUNCTION("""COMPUTED_VALUE"""),"HUPE – Série Rotinas Hospitalares: Geriatria (Vol VI)")</f>
        <v>HUPE – Série Rotinas Hospitalares: Geriatria (Vol VI)</v>
      </c>
      <c r="B89" s="24" t="str">
        <f>IFERROR(__xludf.DUMMYFUNCTION("""COMPUTED_VALUE"""),"Roberto Alves Lourenço, Carlos Montes Paixão Junior, Maria Angélica dos Santos Sanchez (coordenadores) Roberto Alves Lourenço (editor da série)")</f>
        <v>Roberto Alves Lourenço, Carlos Montes Paixão Junior, Maria Angélica dos Santos Sanchez (coordenadores) Roberto Alves Lourenço (editor da série)</v>
      </c>
      <c r="C89" s="24" t="str">
        <f>IFERROR(__xludf.DUMMYFUNCTION("""COMPUTED_VALUE"""),"Rio de Janeiro")</f>
        <v>Rio de Janeiro</v>
      </c>
      <c r="D89" s="24" t="str">
        <f>IFERROR(__xludf.DUMMYFUNCTION("""COMPUTED_VALUE"""),"EdUERJ")</f>
        <v>EdUERJ</v>
      </c>
      <c r="E89" s="25">
        <f>IFERROR(__xludf.DUMMYFUNCTION("""COMPUTED_VALUE"""),2018.0)</f>
        <v>2018</v>
      </c>
      <c r="F89" s="24" t="str">
        <f>IFERROR(__xludf.DUMMYFUNCTION("""COMPUTED_VALUE"""),"Rotina hospitalar; Geriatria; Prática clínica")</f>
        <v>Rotina hospitalar; Geriatria; Prática clínica</v>
      </c>
      <c r="G89" s="28" t="str">
        <f>IFERROR(__xludf.DUMMYFUNCTION("""COMPUTED_VALUE"""),"9788561175788")</f>
        <v>9788561175788</v>
      </c>
      <c r="H89" s="29" t="str">
        <f>IFERROR(__xludf.DUMMYFUNCTION("""COMPUTED_VALUE"""),"https://www.eduerj.com/eng/?product=hupe-serie-rotinas-hospitalares-geriatria-vol-vi")</f>
        <v>https://www.eduerj.com/eng/?product=hupe-serie-rotinas-hospitalares-geriatria-vol-vi</v>
      </c>
      <c r="I89" s="24" t="str">
        <f>IFERROR(__xludf.DUMMYFUNCTION("""COMPUTED_VALUE"""),"Ciências da Saúde")</f>
        <v>Ciências da Saúde</v>
      </c>
    </row>
    <row r="90">
      <c r="A90" s="24" t="str">
        <f>IFERROR(__xludf.DUMMYFUNCTION("""COMPUTED_VALUE"""),"HUPE – Série Rotinas Hospitalares: Geriatria (Vol VI) – Parte 2")</f>
        <v>HUPE – Série Rotinas Hospitalares: Geriatria (Vol VI) – Parte 2</v>
      </c>
      <c r="B90" s="24" t="str">
        <f>IFERROR(__xludf.DUMMYFUNCTION("""COMPUTED_VALUE"""),"Roberto Alves Lourenço, Carlos Montes Paixão Junior, Maria Angélica dos Santos Sanchez (coordenadores) Roberto Alves Lourenço (editor da série)")</f>
        <v>Roberto Alves Lourenço, Carlos Montes Paixão Junior, Maria Angélica dos Santos Sanchez (coordenadores) Roberto Alves Lourenço (editor da série)</v>
      </c>
      <c r="C90" s="24" t="str">
        <f>IFERROR(__xludf.DUMMYFUNCTION("""COMPUTED_VALUE"""),"Rio de Janeiro")</f>
        <v>Rio de Janeiro</v>
      </c>
      <c r="D90" s="24" t="str">
        <f>IFERROR(__xludf.DUMMYFUNCTION("""COMPUTED_VALUE"""),"EdUERJ")</f>
        <v>EdUERJ</v>
      </c>
      <c r="E90" s="25">
        <f>IFERROR(__xludf.DUMMYFUNCTION("""COMPUTED_VALUE"""),2018.0)</f>
        <v>2018</v>
      </c>
      <c r="F90" s="24" t="str">
        <f>IFERROR(__xludf.DUMMYFUNCTION("""COMPUTED_VALUE"""),"Rotina hospitalar; Geriatria; Prática clínica")</f>
        <v>Rotina hospitalar; Geriatria; Prática clínica</v>
      </c>
      <c r="G90" s="28" t="str">
        <f>IFERROR(__xludf.DUMMYFUNCTION("""COMPUTED_VALUE"""),"9788561175771")</f>
        <v>9788561175771</v>
      </c>
      <c r="H90" s="29" t="str">
        <f>IFERROR(__xludf.DUMMYFUNCTION("""COMPUTED_VALUE"""),"https://www.eduerj.com/eng/?product=hupe-serie-rotinas-hospitalares-geriatria-vol-vi-parte-2")</f>
        <v>https://www.eduerj.com/eng/?product=hupe-serie-rotinas-hospitalares-geriatria-vol-vi-parte-2</v>
      </c>
      <c r="I90" s="24" t="str">
        <f>IFERROR(__xludf.DUMMYFUNCTION("""COMPUTED_VALUE"""),"Ciências da Saúde")</f>
        <v>Ciências da Saúde</v>
      </c>
    </row>
    <row r="91">
      <c r="A91" s="24" t="str">
        <f>IFERROR(__xludf.DUMMYFUNCTION("""COMPUTED_VALUE"""),"HUPE – Série Rotinas Hospitalares: Neurologia (Volume VIII)")</f>
        <v>HUPE – Série Rotinas Hospitalares: Neurologia (Volume VIII)</v>
      </c>
      <c r="B91" s="24" t="str">
        <f>IFERROR(__xludf.DUMMYFUNCTION("""COMPUTED_VALUE"""),"João Santos Pereira, Gerson Canedo de Magalhães (coordenadores), Roberto A. Lourenço (editor da série)")</f>
        <v>João Santos Pereira, Gerson Canedo de Magalhães (coordenadores), Roberto A. Lourenço (editor da série)</v>
      </c>
      <c r="C91" s="24" t="str">
        <f>IFERROR(__xludf.DUMMYFUNCTION("""COMPUTED_VALUE"""),"Rio de Janeiro")</f>
        <v>Rio de Janeiro</v>
      </c>
      <c r="D91" s="24" t="str">
        <f>IFERROR(__xludf.DUMMYFUNCTION("""COMPUTED_VALUE"""),"EdUERJ")</f>
        <v>EdUERJ</v>
      </c>
      <c r="E91" s="25">
        <f>IFERROR(__xludf.DUMMYFUNCTION("""COMPUTED_VALUE"""),2019.0)</f>
        <v>2019</v>
      </c>
      <c r="F91" s="24" t="str">
        <f>IFERROR(__xludf.DUMMYFUNCTION("""COMPUTED_VALUE"""),"Rotina hospitalar; Neurologia; Prática clínica; Protocolo clínico")</f>
        <v>Rotina hospitalar; Neurologia; Prática clínica; Protocolo clínico</v>
      </c>
      <c r="G91" s="28" t="str">
        <f>IFERROR(__xludf.DUMMYFUNCTION("""COMPUTED_VALUE"""),"9786580709007")</f>
        <v>9786580709007</v>
      </c>
      <c r="H91" s="29" t="str">
        <f>IFERROR(__xludf.DUMMYFUNCTION("""COMPUTED_VALUE"""),"https://www.eduerj.com/eng/?product=hupe-serie-rotinas-hospitalares-neurologia-volume-viii")</f>
        <v>https://www.eduerj.com/eng/?product=hupe-serie-rotinas-hospitalares-neurologia-volume-viii</v>
      </c>
      <c r="I91" s="24" t="str">
        <f>IFERROR(__xludf.DUMMYFUNCTION("""COMPUTED_VALUE"""),"Ciências da Saúde")</f>
        <v>Ciências da Saúde</v>
      </c>
    </row>
    <row r="92">
      <c r="A92" s="24" t="str">
        <f>IFERROR(__xludf.DUMMYFUNCTION("""COMPUTED_VALUE"""),"HUPE – Série Rotinas Hospitalares: Obstetrícia – 2ª Edição")</f>
        <v>HUPE – Série Rotinas Hospitalares: Obstetrícia – 2ª Edição</v>
      </c>
      <c r="B92" s="24" t="str">
        <f>IFERROR(__xludf.DUMMYFUNCTION("""COMPUTED_VALUE"""),"Alexandre José Baptista Trajano, Denise Leite Maia Monteiro, Nilson Ramires de Jesús (Orgs.)")</f>
        <v>Alexandre José Baptista Trajano, Denise Leite Maia Monteiro, Nilson Ramires de Jesús (Orgs.)</v>
      </c>
      <c r="C92" s="24" t="str">
        <f>IFERROR(__xludf.DUMMYFUNCTION("""COMPUTED_VALUE"""),"Rio de Janeiro")</f>
        <v>Rio de Janeiro</v>
      </c>
      <c r="D92" s="24" t="str">
        <f>IFERROR(__xludf.DUMMYFUNCTION("""COMPUTED_VALUE"""),"EdUERJ")</f>
        <v>EdUERJ</v>
      </c>
      <c r="E92" s="25">
        <f>IFERROR(__xludf.DUMMYFUNCTION("""COMPUTED_VALUE"""),2017.0)</f>
        <v>2017</v>
      </c>
      <c r="F92" s="24" t="str">
        <f>IFERROR(__xludf.DUMMYFUNCTION("""COMPUTED_VALUE"""),"Rotina hospitalar; Obstetrícia; Prática hospitalar")</f>
        <v>Rotina hospitalar; Obstetrícia; Prática hospitalar</v>
      </c>
      <c r="G92" s="28" t="str">
        <f>IFERROR(__xludf.DUMMYFUNCTION("""COMPUTED_VALUE"""),"9788575114483")</f>
        <v>9788575114483</v>
      </c>
      <c r="H92" s="29" t="str">
        <f>IFERROR(__xludf.DUMMYFUNCTION("""COMPUTED_VALUE"""),"https://www.eduerj.com/eng/?product=hupe-serie-rotinas-hospitalares-obstetricia-2a-edicao")</f>
        <v>https://www.eduerj.com/eng/?product=hupe-serie-rotinas-hospitalares-obstetricia-2a-edicao</v>
      </c>
      <c r="I92" s="24" t="str">
        <f>IFERROR(__xludf.DUMMYFUNCTION("""COMPUTED_VALUE"""),"Ciências da Saúde")</f>
        <v>Ciências da Saúde</v>
      </c>
    </row>
    <row r="93">
      <c r="A93" s="24" t="str">
        <f>IFERROR(__xludf.DUMMYFUNCTION("""COMPUTED_VALUE"""),"Jornada Catarinense de Geriatria e Gerontologia")</f>
        <v>Jornada Catarinense de Geriatria e Gerontologia</v>
      </c>
      <c r="B93" s="24" t="str">
        <f>IFERROR(__xludf.DUMMYFUNCTION("""COMPUTED_VALUE"""),"Rafael Cunha Laux, Sandra Maria Toffolo, Alessandro Verffel, Clodoaldo de Sá e Leoni Terezinha Zenevicz")</f>
        <v>Rafael Cunha Laux, Sandra Maria Toffolo, Alessandro Verffel, Clodoaldo de Sá e Leoni Terezinha Zenevicz</v>
      </c>
      <c r="C93" s="24" t="str">
        <f>IFERROR(__xludf.DUMMYFUNCTION("""COMPUTED_VALUE"""),"Joaçaba")</f>
        <v>Joaçaba</v>
      </c>
      <c r="D93" s="24" t="str">
        <f>IFERROR(__xludf.DUMMYFUNCTION("""COMPUTED_VALUE"""),"Unoesc")</f>
        <v>Unoesc</v>
      </c>
      <c r="E93" s="25">
        <f>IFERROR(__xludf.DUMMYFUNCTION("""COMPUTED_VALUE"""),2018.0)</f>
        <v>2018</v>
      </c>
      <c r="F93" s="24" t="str">
        <f>IFERROR(__xludf.DUMMYFUNCTION("""COMPUTED_VALUE"""),"Geriatria, Gerontologia, Envelhecimento")</f>
        <v>Geriatria, Gerontologia, Envelhecimento</v>
      </c>
      <c r="G93" s="28" t="str">
        <f>IFERROR(__xludf.DUMMYFUNCTION("""COMPUTED_VALUE"""),"9788584221950")</f>
        <v>9788584221950</v>
      </c>
      <c r="H93" s="29" t="str">
        <f>IFERROR(__xludf.DUMMYFUNCTION("""COMPUTED_VALUE"""),"https://www.unoesc.edu.br/images/uploads/editora/Jornada_Catarinense_de_Geriatria_e_Gerontologia_2019.pdf")</f>
        <v>https://www.unoesc.edu.br/images/uploads/editora/Jornada_Catarinense_de_Geriatria_e_Gerontologia_2019.pdf</v>
      </c>
      <c r="I93" s="24" t="str">
        <f>IFERROR(__xludf.DUMMYFUNCTION("""COMPUTED_VALUE"""),"Ciências da Saúde")</f>
        <v>Ciências da Saúde</v>
      </c>
    </row>
    <row r="94">
      <c r="A94" s="24" t="str">
        <f>IFERROR(__xludf.DUMMYFUNCTION("""COMPUTED_VALUE"""),"Juntos contra o coronavírus")</f>
        <v>Juntos contra o coronavírus</v>
      </c>
      <c r="B94" s="24" t="str">
        <f>IFERROR(__xludf.DUMMYFUNCTION("""COMPUTED_VALUE"""),"Antônio Roque Júnior, Josivânia de Assis, Neila Brasil Bruno; Ilustração Jacqueline Lima.")</f>
        <v>Antônio Roque Júnior, Josivânia de Assis, Neila Brasil Bruno; Ilustração Jacqueline Lima.</v>
      </c>
      <c r="C94" s="24" t="str">
        <f>IFERROR(__xludf.DUMMYFUNCTION("""COMPUTED_VALUE"""),"Ilhéus, BA")</f>
        <v>Ilhéus, BA</v>
      </c>
      <c r="D94" s="24" t="str">
        <f>IFERROR(__xludf.DUMMYFUNCTION("""COMPUTED_VALUE"""),"Editus")</f>
        <v>Editus</v>
      </c>
      <c r="E94" s="25">
        <f>IFERROR(__xludf.DUMMYFUNCTION("""COMPUTED_VALUE"""),2020.0)</f>
        <v>2020</v>
      </c>
      <c r="F94" s="24" t="str">
        <f>IFERROR(__xludf.DUMMYFUNCTION("""COMPUTED_VALUE"""),"Vírus – Manuais, guias, etc; Crianças –; Saúde e higiene; Cartilhas; Vírus –; Isolamento")</f>
        <v>Vírus – Manuais, guias, etc; Crianças –; Saúde e higiene; Cartilhas; Vírus –; Isolamento</v>
      </c>
      <c r="G94" s="26"/>
      <c r="H94" s="29" t="str">
        <f>IFERROR(__xludf.DUMMYFUNCTION("""COMPUTED_VALUE"""),"http://www.uesc.br/editora/livrosdigitais2020/juntos-contra-o-corona.pdf")</f>
        <v>http://www.uesc.br/editora/livrosdigitais2020/juntos-contra-o-corona.pdf</v>
      </c>
      <c r="I94" s="24" t="str">
        <f>IFERROR(__xludf.DUMMYFUNCTION("""COMPUTED_VALUE"""),"Ciências da Saúde")</f>
        <v>Ciências da Saúde</v>
      </c>
    </row>
    <row r="95">
      <c r="A95" s="24" t="str">
        <f>IFERROR(__xludf.DUMMYFUNCTION("""COMPUTED_VALUE"""),"Mãe e Filho: a eterna ligação")</f>
        <v>Mãe e Filho: a eterna ligação</v>
      </c>
      <c r="B95" s="24" t="str">
        <f>IFERROR(__xludf.DUMMYFUNCTION("""COMPUTED_VALUE"""),"Iêda Maria Ávila Vargas Dias, Denise Barbosa de Castro Friedrich, Semiramis Melani Melo Rocha")</f>
        <v>Iêda Maria Ávila Vargas Dias, Denise Barbosa de Castro Friedrich, Semiramis Melani Melo Rocha</v>
      </c>
      <c r="C95" s="24" t="str">
        <f>IFERROR(__xludf.DUMMYFUNCTION("""COMPUTED_VALUE"""),"Juiz de Fora")</f>
        <v>Juiz de Fora</v>
      </c>
      <c r="D95" s="24" t="str">
        <f>IFERROR(__xludf.DUMMYFUNCTION("""COMPUTED_VALUE"""),"Editora UFJF")</f>
        <v>Editora UFJF</v>
      </c>
      <c r="E95" s="25">
        <f>IFERROR(__xludf.DUMMYFUNCTION("""COMPUTED_VALUE"""),2011.0)</f>
        <v>2011</v>
      </c>
      <c r="F95" s="24" t="str">
        <f>IFERROR(__xludf.DUMMYFUNCTION("""COMPUTED_VALUE"""),"Saúde, Enfermagem, Relação mãe-filho")</f>
        <v>Saúde, Enfermagem, Relação mãe-filho</v>
      </c>
      <c r="G95" s="28" t="str">
        <f>IFERROR(__xludf.DUMMYFUNCTION("""COMPUTED_VALUE"""),"9788576721123")</f>
        <v>9788576721123</v>
      </c>
      <c r="H95" s="29" t="str">
        <f>IFERROR(__xludf.DUMMYFUNCTION("""COMPUTED_VALUE"""),"http://www2.ufjf.br/editora/wp-content/uploads/sites/113/2018/02/mae_e_filho.pdf")</f>
        <v>http://www2.ufjf.br/editora/wp-content/uploads/sites/113/2018/02/mae_e_filho.pdf</v>
      </c>
      <c r="I95" s="24" t="str">
        <f>IFERROR(__xludf.DUMMYFUNCTION("""COMPUTED_VALUE"""),"Ciências da Saúde")</f>
        <v>Ciências da Saúde</v>
      </c>
    </row>
    <row r="96">
      <c r="A96" s="24" t="str">
        <f>IFERROR(__xludf.DUMMYFUNCTION("""COMPUTED_VALUE"""),"Manual básico de oncologia experimental: tumor de Ehrlich")</f>
        <v>Manual básico de oncologia experimental: tumor de Ehrlich</v>
      </c>
      <c r="B96" s="24" t="str">
        <f>IFERROR(__xludf.DUMMYFUNCTION("""COMPUTED_VALUE"""),"Organização de Jofre Jacob; da Silva Freitas, Pedro Iuri Castro da Silva, Robson José de Souza Domingues")</f>
        <v>Organização de Jofre Jacob; da Silva Freitas, Pedro Iuri Castro da Silva, Robson José de Souza Domingues</v>
      </c>
      <c r="C96" s="24" t="str">
        <f>IFERROR(__xludf.DUMMYFUNCTION("""COMPUTED_VALUE"""),"Belém")</f>
        <v>Belém</v>
      </c>
      <c r="D96" s="24" t="str">
        <f>IFERROR(__xludf.DUMMYFUNCTION("""COMPUTED_VALUE"""),"UEPA")</f>
        <v>UEPA</v>
      </c>
      <c r="E96" s="25">
        <f>IFERROR(__xludf.DUMMYFUNCTION("""COMPUTED_VALUE"""),2018.0)</f>
        <v>2018</v>
      </c>
      <c r="F96" s="24" t="str">
        <f>IFERROR(__xludf.DUMMYFUNCTION("""COMPUTED_VALUE"""),"Oncologia; Tumores – Ehrlich; Câncer")</f>
        <v>Oncologia; Tumores – Ehrlich; Câncer</v>
      </c>
      <c r="G96" s="28" t="str">
        <f>IFERROR(__xludf.DUMMYFUNCTION("""COMPUTED_VALUE"""),"9788584580231")</f>
        <v>9788584580231</v>
      </c>
      <c r="H96" s="29" t="str">
        <f>IFERROR(__xludf.DUMMYFUNCTION("""COMPUTED_VALUE"""),"https://paginas.uepa.br/eduepa/wp-content/uploads/2019/06/MANUAL-DE-ONCOLOGIA-23-10-2018.pdf")</f>
        <v>https://paginas.uepa.br/eduepa/wp-content/uploads/2019/06/MANUAL-DE-ONCOLOGIA-23-10-2018.pdf</v>
      </c>
      <c r="I96" s="24" t="str">
        <f>IFERROR(__xludf.DUMMYFUNCTION("""COMPUTED_VALUE"""),"Ciências da Saúde")</f>
        <v>Ciências da Saúde</v>
      </c>
    </row>
    <row r="97">
      <c r="A97" s="24" t="str">
        <f>IFERROR(__xludf.DUMMYFUNCTION("""COMPUTED_VALUE"""),"Manual de habilidades profissionais: atenção à saúde da criança maior pediatria")</f>
        <v>Manual de habilidades profissionais: atenção à saúde da criança maior pediatria</v>
      </c>
      <c r="B97" s="24" t="str">
        <f>IFERROR(__xludf.DUMMYFUNCTION("""COMPUTED_VALUE"""),"Organização de Rosa de Fátima da Silva Vieira Marques")</f>
        <v>Organização de Rosa de Fátima da Silva Vieira Marques</v>
      </c>
      <c r="C97" s="24" t="str">
        <f>IFERROR(__xludf.DUMMYFUNCTION("""COMPUTED_VALUE"""),"Belém")</f>
        <v>Belém</v>
      </c>
      <c r="D97" s="24" t="str">
        <f>IFERROR(__xludf.DUMMYFUNCTION("""COMPUTED_VALUE"""),"UEPA")</f>
        <v>UEPA</v>
      </c>
      <c r="E97" s="25">
        <f>IFERROR(__xludf.DUMMYFUNCTION("""COMPUTED_VALUE"""),2020.0)</f>
        <v>2020</v>
      </c>
      <c r="F97" s="24" t="str">
        <f>IFERROR(__xludf.DUMMYFUNCTION("""COMPUTED_VALUE"""),"Pediatria; Criança – Cuidado e tratamento; Atenção à saúde")</f>
        <v>Pediatria; Criança – Cuidado e tratamento; Atenção à saúde</v>
      </c>
      <c r="G97" s="28" t="str">
        <f>IFERROR(__xludf.DUMMYFUNCTION("""COMPUTED_VALUE"""),"9788584580385")</f>
        <v>9788584580385</v>
      </c>
      <c r="H97" s="29" t="str">
        <f>IFERROR(__xludf.DUMMYFUNCTION("""COMPUTED_VALUE"""),"https://paginas.uepa.br/eduepa/wp-content/uploads/2020/07/MANUAL-DE-HABILIDADES-PEDIATRIA-1-ED.pdf")</f>
        <v>https://paginas.uepa.br/eduepa/wp-content/uploads/2020/07/MANUAL-DE-HABILIDADES-PEDIATRIA-1-ED.pdf</v>
      </c>
      <c r="I97" s="24" t="str">
        <f>IFERROR(__xludf.DUMMYFUNCTION("""COMPUTED_VALUE"""),"Ciências da Saúde")</f>
        <v>Ciências da Saúde</v>
      </c>
    </row>
    <row r="98">
      <c r="A98" s="24" t="str">
        <f>IFERROR(__xludf.DUMMYFUNCTION("""COMPUTED_VALUE"""),"Manual de habilidades profissionais: atenção à saúde da mulher e gestante ginecologia e obstetrícia")</f>
        <v>Manual de habilidades profissionais: atenção à saúde da mulher e gestante ginecologia e obstetrícia</v>
      </c>
      <c r="B98" s="24" t="str">
        <f>IFERROR(__xludf.DUMMYFUNCTION("""COMPUTED_VALUE"""),"Organização de; Nara Macedo Botelho")</f>
        <v>Organização de; Nara Macedo Botelho</v>
      </c>
      <c r="C98" s="24" t="str">
        <f>IFERROR(__xludf.DUMMYFUNCTION("""COMPUTED_VALUE"""),"Belém")</f>
        <v>Belém</v>
      </c>
      <c r="D98" s="24" t="str">
        <f>IFERROR(__xludf.DUMMYFUNCTION("""COMPUTED_VALUE"""),"UEPA")</f>
        <v>UEPA</v>
      </c>
      <c r="E98" s="25">
        <f>IFERROR(__xludf.DUMMYFUNCTION("""COMPUTED_VALUE"""),2018.0)</f>
        <v>2018</v>
      </c>
      <c r="F98" s="24" t="str">
        <f>IFERROR(__xludf.DUMMYFUNCTION("""COMPUTED_VALUE"""),"Ginecologia – Diagnóstico; Obstetrícia – Diagnóstico")</f>
        <v>Ginecologia – Diagnóstico; Obstetrícia – Diagnóstico</v>
      </c>
      <c r="G98" s="28" t="str">
        <f>IFERROR(__xludf.DUMMYFUNCTION("""COMPUTED_VALUE"""),"9788584580347")</f>
        <v>9788584580347</v>
      </c>
      <c r="H98" s="29" t="str">
        <f>IFERROR(__xludf.DUMMYFUNCTION("""COMPUTED_VALUE"""),"https://paginas.uepa.br/eduepa/wp-content/uploads/2019/06/MANUAL-DE-GINECOLOGIA-E-OBSTETR%C3%8DCIA.pdf")</f>
        <v>https://paginas.uepa.br/eduepa/wp-content/uploads/2019/06/MANUAL-DE-GINECOLOGIA-E-OBSTETR%C3%8DCIA.pdf</v>
      </c>
      <c r="I98" s="24" t="str">
        <f>IFERROR(__xludf.DUMMYFUNCTION("""COMPUTED_VALUE"""),"Ciências da Saúde")</f>
        <v>Ciências da Saúde</v>
      </c>
    </row>
    <row r="99">
      <c r="A99" s="24" t="str">
        <f>IFERROR(__xludf.DUMMYFUNCTION("""COMPUTED_VALUE"""),"Manual de habilidades profissionais: atenção à saúde do recém-nascido neomatologia")</f>
        <v>Manual de habilidades profissionais: atenção à saúde do recém-nascido neomatologia</v>
      </c>
      <c r="B99" s="24" t="str">
        <f>IFERROR(__xludf.DUMMYFUNCTION("""COMPUTED_VALUE"""),"Organização de Rejane da Silva Cavalcante")</f>
        <v>Organização de Rejane da Silva Cavalcante</v>
      </c>
      <c r="C99" s="24" t="str">
        <f>IFERROR(__xludf.DUMMYFUNCTION("""COMPUTED_VALUE"""),"Belém")</f>
        <v>Belém</v>
      </c>
      <c r="D99" s="24"/>
      <c r="E99" s="25">
        <f>IFERROR(__xludf.DUMMYFUNCTION("""COMPUTED_VALUE"""),2019.0)</f>
        <v>2019</v>
      </c>
      <c r="F99" s="24" t="str">
        <f>IFERROR(__xludf.DUMMYFUNCTION("""COMPUTED_VALUE"""),"Neonatologia; Recém-nascido – Cuidado e tratamento; Atenção à saúde")</f>
        <v>Neonatologia; Recém-nascido – Cuidado e tratamento; Atenção à saúde</v>
      </c>
      <c r="G99" s="28" t="str">
        <f>IFERROR(__xludf.DUMMYFUNCTION("""COMPUTED_VALUE"""),"9788584580385")</f>
        <v>9788584580385</v>
      </c>
      <c r="H99" s="29" t="str">
        <f>IFERROR(__xludf.DUMMYFUNCTION("""COMPUTED_VALUE"""),"https://paginas.uepa.br/eduepa/wp-content/uploads/2019/06/MANUAL-DE-NEONATOLOGIA.pdf")</f>
        <v>https://paginas.uepa.br/eduepa/wp-content/uploads/2019/06/MANUAL-DE-NEONATOLOGIA.pdf</v>
      </c>
      <c r="I99" s="24" t="str">
        <f>IFERROR(__xludf.DUMMYFUNCTION("""COMPUTED_VALUE"""),"Ciências da Saúde")</f>
        <v>Ciências da Saúde</v>
      </c>
    </row>
    <row r="100">
      <c r="A100" s="24" t="str">
        <f>IFERROR(__xludf.DUMMYFUNCTION("""COMPUTED_VALUE"""),"Manual de libras para ciências: a célula e o corpo humano ")</f>
        <v>Manual de libras para ciências: a célula e o corpo humano </v>
      </c>
      <c r="B100" s="24" t="str">
        <f>IFERROR(__xludf.DUMMYFUNCTION("""COMPUTED_VALUE"""),"Bruno Iles, Taiane Maria de Oliveira, Rosemary Meneses dos Santos, Jesus Rodrigues Lemos (org.) ")</f>
        <v>Bruno Iles, Taiane Maria de Oliveira, Rosemary Meneses dos Santos, Jesus Rodrigues Lemos (org.) </v>
      </c>
      <c r="C100" s="24" t="str">
        <f>IFERROR(__xludf.DUMMYFUNCTION("""COMPUTED_VALUE"""),"Teresina")</f>
        <v>Teresina</v>
      </c>
      <c r="D100" s="24" t="str">
        <f>IFERROR(__xludf.DUMMYFUNCTION("""COMPUTED_VALUE"""),"Editora da UFPI")</f>
        <v>Editora da UFPI</v>
      </c>
      <c r="E100" s="25">
        <f>IFERROR(__xludf.DUMMYFUNCTION("""COMPUTED_VALUE"""),2019.0)</f>
        <v>2019</v>
      </c>
      <c r="F100" s="24" t="str">
        <f>IFERROR(__xludf.DUMMYFUNCTION("""COMPUTED_VALUE"""),"Libras; Surdez; Ensino de ciências; Aprendizagem")</f>
        <v>Libras; Surdez; Ensino de ciências; Aprendizagem</v>
      </c>
      <c r="G100" s="28" t="str">
        <f>IFERROR(__xludf.DUMMYFUNCTION("""COMPUTED_VALUE"""),"9786586171440")</f>
        <v>9786586171440</v>
      </c>
      <c r="H100" s="29" t="str">
        <f>IFERROR(__xludf.DUMMYFUNCTION("""COMPUTED_VALUE"""),"https://www.ufpi.br/arquivos_download/arquivos/EBOOK_-_MANUAL_DE_LIBRAS_PARA_CIENCIA-_A_C%C3%ABLULA_E_O_CORPO_HUMANO20200727155142.pdf")</f>
        <v>https://www.ufpi.br/arquivos_download/arquivos/EBOOK_-_MANUAL_DE_LIBRAS_PARA_CIENCIA-_A_C%C3%ABLULA_E_O_CORPO_HUMANO20200727155142.pdf</v>
      </c>
      <c r="I100" s="24" t="str">
        <f>IFERROR(__xludf.DUMMYFUNCTION("""COMPUTED_VALUE"""),"Ciências da Saúde")</f>
        <v>Ciências da Saúde</v>
      </c>
    </row>
    <row r="101">
      <c r="A101" s="24" t="str">
        <f>IFERROR(__xludf.DUMMYFUNCTION("""COMPUTED_VALUE"""),"Manual de Procedimentos Básicos de Enfermagem")</f>
        <v>Manual de Procedimentos Básicos de Enfermagem</v>
      </c>
      <c r="B101" s="24" t="str">
        <f>IFERROR(__xludf.DUMMYFUNCTION("""COMPUTED_VALUE"""),"Adriana Aparecida Paz, Aline Correa de Souza, Eliane Goldberg Rabin, Emiliane Nogueira de Souza, Karin Viegas, Marcio Wagner Camatta, Simone Travi Canabarro, Emiliane Nogueira de Souza (org.)")</f>
        <v>Adriana Aparecida Paz, Aline Correa de Souza, Eliane Goldberg Rabin, Emiliane Nogueira de Souza, Karin Viegas, Marcio Wagner Camatta, Simone Travi Canabarro, Emiliane Nogueira de Souza (org.)</v>
      </c>
      <c r="C101" s="24" t="str">
        <f>IFERROR(__xludf.DUMMYFUNCTION("""COMPUTED_VALUE"""),"Porto Alegre")</f>
        <v>Porto Alegre</v>
      </c>
      <c r="D101" s="24" t="str">
        <f>IFERROR(__xludf.DUMMYFUNCTION("""COMPUTED_VALUE"""),"UFCSPA ")</f>
        <v>UFCSPA </v>
      </c>
      <c r="E101" s="25">
        <f>IFERROR(__xludf.DUMMYFUNCTION("""COMPUTED_VALUE"""),2016.0)</f>
        <v>2016</v>
      </c>
      <c r="F101" s="24" t="str">
        <f>IFERROR(__xludf.DUMMYFUNCTION("""COMPUTED_VALUE"""),"Enfermagem Enfermagem primária Exposição a agentes biológicos Paz ")</f>
        <v>Enfermagem Enfermagem primária Exposição a agentes biológicos Paz </v>
      </c>
      <c r="G101" s="28" t="str">
        <f>IFERROR(__xludf.DUMMYFUNCTION("""COMPUTED_VALUE"""),"9788592652012")</f>
        <v>9788592652012</v>
      </c>
      <c r="H101" s="29" t="str">
        <f>IFERROR(__xludf.DUMMYFUNCTION("""COMPUTED_VALUE"""),"https://www.ufcspa.edu.br/editora_log/download.php?cod=002&amp;tipo=pdf")</f>
        <v>https://www.ufcspa.edu.br/editora_log/download.php?cod=002&amp;tipo=pdf</v>
      </c>
      <c r="I101" s="24" t="str">
        <f>IFERROR(__xludf.DUMMYFUNCTION("""COMPUTED_VALUE"""),"Ciências da Saúde")</f>
        <v>Ciências da Saúde</v>
      </c>
    </row>
    <row r="102">
      <c r="A102" s="24" t="str">
        <f>IFERROR(__xludf.DUMMYFUNCTION("""COMPUTED_VALUE"""),"Manual de semiologia médica: a prática do exame físico ")</f>
        <v>Manual de semiologia médica: a prática do exame físico </v>
      </c>
      <c r="B102" s="24" t="str">
        <f>IFERROR(__xludf.DUMMYFUNCTION("""COMPUTED_VALUE"""),"Gilberto Yoshikawa, Roberto; Chaves Castro (org.)")</f>
        <v>Gilberto Yoshikawa, Roberto; Chaves Castro (org.)</v>
      </c>
      <c r="C102" s="24" t="str">
        <f>IFERROR(__xludf.DUMMYFUNCTION("""COMPUTED_VALUE"""),"Belém")</f>
        <v>Belém</v>
      </c>
      <c r="D102" s="24" t="str">
        <f>IFERROR(__xludf.DUMMYFUNCTION("""COMPUTED_VALUE"""),"UEPA")</f>
        <v>UEPA</v>
      </c>
      <c r="E102" s="25">
        <f>IFERROR(__xludf.DUMMYFUNCTION("""COMPUTED_VALUE"""),2015.0)</f>
        <v>2015</v>
      </c>
      <c r="F102" s="24" t="str">
        <f>IFERROR(__xludf.DUMMYFUNCTION("""COMPUTED_VALUE"""),"Semiologia - Medicina; Clínica médica; Diagnóstico físico; Doenças Sintomas")</f>
        <v>Semiologia - Medicina; Clínica médica; Diagnóstico físico; Doenças Sintomas</v>
      </c>
      <c r="G102" s="28" t="str">
        <f>IFERROR(__xludf.DUMMYFUNCTION("""COMPUTED_VALUE"""),"9788584580057")</f>
        <v>9788584580057</v>
      </c>
      <c r="H102" s="29" t="str">
        <f>IFERROR(__xludf.DUMMYFUNCTION("""COMPUTED_VALUE"""),"https://paginas.uepa.br/eduepa/wp-content/uploads/2019/06/MANUAL-DE-SEMIOLOGIA-MEDICA.pdf")</f>
        <v>https://paginas.uepa.br/eduepa/wp-content/uploads/2019/06/MANUAL-DE-SEMIOLOGIA-MEDICA.pdf</v>
      </c>
      <c r="I102" s="24" t="str">
        <f>IFERROR(__xludf.DUMMYFUNCTION("""COMPUTED_VALUE"""),"Ciências da Saúde")</f>
        <v>Ciências da Saúde</v>
      </c>
    </row>
    <row r="103">
      <c r="A103" s="24" t="str">
        <f>IFERROR(__xludf.DUMMYFUNCTION("""COMPUTED_VALUE"""),"Manual do Estudante do Curso de Medicina da Universidade Federal de Juiz de Fora")</f>
        <v>Manual do Estudante do Curso de Medicina da Universidade Federal de Juiz de Fora</v>
      </c>
      <c r="B103" s="24" t="str">
        <f>IFERROR(__xludf.DUMMYFUNCTION("""COMPUTED_VALUE"""),"Oscarina da Silva Ezequiel, João Eliton Bonin, Sandra Helena Cerrato Tibiriçá, Tiago Grassano Lattari ")</f>
        <v>Oscarina da Silva Ezequiel, João Eliton Bonin, Sandra Helena Cerrato Tibiriçá, Tiago Grassano Lattari </v>
      </c>
      <c r="C103" s="24" t="str">
        <f>IFERROR(__xludf.DUMMYFUNCTION("""COMPUTED_VALUE"""),"Juiz de Fora")</f>
        <v>Juiz de Fora</v>
      </c>
      <c r="D103" s="24" t="str">
        <f>IFERROR(__xludf.DUMMYFUNCTION("""COMPUTED_VALUE"""),"Editora UFJF")</f>
        <v>Editora UFJF</v>
      </c>
      <c r="E103" s="25">
        <f>IFERROR(__xludf.DUMMYFUNCTION("""COMPUTED_VALUE"""),2010.0)</f>
        <v>2010</v>
      </c>
      <c r="F103" s="24" t="str">
        <f>IFERROR(__xludf.DUMMYFUNCTION("""COMPUTED_VALUE"""),"Estudantes universitários, Medicina, Curriculo de Ensino Superior")</f>
        <v>Estudantes universitários, Medicina, Curriculo de Ensino Superior</v>
      </c>
      <c r="G103" s="28" t="str">
        <f>IFERROR(__xludf.DUMMYFUNCTION("""COMPUTED_VALUE"""),"9788576721093")</f>
        <v>9788576721093</v>
      </c>
      <c r="H103" s="29" t="str">
        <f>IFERROR(__xludf.DUMMYFUNCTION("""COMPUTED_VALUE"""),"http://www2.ufjf.br/editora/wp-content/uploads/sites/113/2018/02/manual_do_estudante_do_curso_de_medicina_ufjf.pdf")</f>
        <v>http://www2.ufjf.br/editora/wp-content/uploads/sites/113/2018/02/manual_do_estudante_do_curso_de_medicina_ufjf.pdf</v>
      </c>
      <c r="I103" s="24" t="str">
        <f>IFERROR(__xludf.DUMMYFUNCTION("""COMPUTED_VALUE"""),"Ciências da Saúde")</f>
        <v>Ciências da Saúde</v>
      </c>
    </row>
    <row r="104">
      <c r="A104" s="24" t="str">
        <f>IFERROR(__xludf.DUMMYFUNCTION("""COMPUTED_VALUE"""),"Medicamentos da Alquimia Espagírica Baseados na Destilação de Produtos e Excreções Humanas na Obra de John French (1616-1657)")</f>
        <v>Medicamentos da Alquimia Espagírica Baseados na Destilação de Produtos e Excreções Humanas na Obra de John French (1616-1657)</v>
      </c>
      <c r="B104" s="24" t="str">
        <f>IFERROR(__xludf.DUMMYFUNCTION("""COMPUTED_VALUE"""),"Argus Vasconcelos de Almeida")</f>
        <v>Argus Vasconcelos de Almeida</v>
      </c>
      <c r="C104" s="24" t="str">
        <f>IFERROR(__xludf.DUMMYFUNCTION("""COMPUTED_VALUE"""),"Recife")</f>
        <v>Recife</v>
      </c>
      <c r="D104" s="24" t="str">
        <f>IFERROR(__xludf.DUMMYFUNCTION("""COMPUTED_VALUE"""),"Editora Universitária da UFRPE")</f>
        <v>Editora Universitária da UFRPE</v>
      </c>
      <c r="E104" s="25">
        <f>IFERROR(__xludf.DUMMYFUNCTION("""COMPUTED_VALUE"""),2013.0)</f>
        <v>2013</v>
      </c>
      <c r="F104" s="24" t="str">
        <f>IFERROR(__xludf.DUMMYFUNCTION("""COMPUTED_VALUE"""),"Alquimia; Química; Medicamentos")</f>
        <v>Alquimia; Química; Medicamentos</v>
      </c>
      <c r="G104" s="26"/>
      <c r="H104" s="29" t="str">
        <f>IFERROR(__xludf.DUMMYFUNCTION("""COMPUTED_VALUE"""),"https://www.dropbox.com/s/x9o3weh9y5gfbbt/medicamentos.pdf")</f>
        <v>https://www.dropbox.com/s/x9o3weh9y5gfbbt/medicamentos.pdf</v>
      </c>
      <c r="I104" s="24" t="str">
        <f>IFERROR(__xludf.DUMMYFUNCTION("""COMPUTED_VALUE"""),"Ciências da Saúde")</f>
        <v>Ciências da Saúde</v>
      </c>
    </row>
    <row r="105">
      <c r="A105" s="24" t="str">
        <f>IFERROR(__xludf.DUMMYFUNCTION("""COMPUTED_VALUE"""),"Metodologia de assistência de enfermagem: aplicando etapas preliminares seguindo o modelo teórico de Levine")</f>
        <v>Metodologia de assistência de enfermagem: aplicando etapas preliminares seguindo o modelo teórico de Levine</v>
      </c>
      <c r="B105" s="24" t="str">
        <f>IFERROR(__xludf.DUMMYFUNCTION("""COMPUTED_VALUE"""),"Elizabete R. Araújo Oliveira")</f>
        <v>Elizabete R. Araújo Oliveira</v>
      </c>
      <c r="C105" s="24" t="str">
        <f>IFERROR(__xludf.DUMMYFUNCTION("""COMPUTED_VALUE"""),"Vitória")</f>
        <v>Vitória</v>
      </c>
      <c r="D105" s="24" t="str">
        <f>IFERROR(__xludf.DUMMYFUNCTION("""COMPUTED_VALUE"""),"EDUFES")</f>
        <v>EDUFES</v>
      </c>
      <c r="E105" s="25">
        <f>IFERROR(__xludf.DUMMYFUNCTION("""COMPUTED_VALUE"""),2014.0)</f>
        <v>2014</v>
      </c>
      <c r="F105" s="24" t="str">
        <f>IFERROR(__xludf.DUMMYFUNCTION("""COMPUTED_VALUE"""),"Enfermagem; Metodologia; Modelo teórico")</f>
        <v>Enfermagem; Metodologia; Modelo teórico</v>
      </c>
      <c r="G105" s="28" t="str">
        <f>IFERROR(__xludf.DUMMYFUNCTION("""COMPUTED_VALUE"""),"9788577721948")</f>
        <v>9788577721948</v>
      </c>
      <c r="H105" s="29" t="str">
        <f>IFERROR(__xludf.DUMMYFUNCTION("""COMPUTED_VALUE"""),"http://repositorio.ufes.br/bitstream/10/827/1/livro%20edufes%20Metodologia%20da%20assist%C3%AAncia%20de%20enfermagem.pdf")</f>
        <v>http://repositorio.ufes.br/bitstream/10/827/1/livro%20edufes%20Metodologia%20da%20assist%C3%AAncia%20de%20enfermagem.pdf</v>
      </c>
      <c r="I105" s="24" t="str">
        <f>IFERROR(__xludf.DUMMYFUNCTION("""COMPUTED_VALUE"""),"Ciências da Saúde")</f>
        <v>Ciências da Saúde</v>
      </c>
    </row>
    <row r="106">
      <c r="A106" s="24" t="str">
        <f>IFERROR(__xludf.DUMMYFUNCTION("""COMPUTED_VALUE"""),"Métodos e Técnicas de Pesquisa Aplicadas à Odontologia (Disponível temporariamente)")</f>
        <v>Métodos e Técnicas de Pesquisa Aplicadas à Odontologia (Disponível temporariamente)</v>
      </c>
      <c r="B106" s="24" t="str">
        <f>IFERROR(__xludf.DUMMYFUNCTION("""COMPUTED_VALUE"""),"André Ulisses Dantas Batista; Ricardo Dias de Castro")</f>
        <v>André Ulisses Dantas Batista; Ricardo Dias de Castro</v>
      </c>
      <c r="C106" s="24" t="str">
        <f>IFERROR(__xludf.DUMMYFUNCTION("""COMPUTED_VALUE"""),"João Pessoa")</f>
        <v>João Pessoa</v>
      </c>
      <c r="D106" s="24" t="str">
        <f>IFERROR(__xludf.DUMMYFUNCTION("""COMPUTED_VALUE"""),"Editora da UFPB")</f>
        <v>Editora da UFPB</v>
      </c>
      <c r="E106" s="25">
        <f>IFERROR(__xludf.DUMMYFUNCTION("""COMPUTED_VALUE"""),2019.0)</f>
        <v>2019</v>
      </c>
      <c r="F106" s="24" t="str">
        <f>IFERROR(__xludf.DUMMYFUNCTION("""COMPUTED_VALUE"""),"Odontologia. Esmalte dental. Saúde dental")</f>
        <v>Odontologia. Esmalte dental. Saúde dental</v>
      </c>
      <c r="G106" s="28" t="str">
        <f>IFERROR(__xludf.DUMMYFUNCTION("""COMPUTED_VALUE"""),"9788523714277")</f>
        <v>9788523714277</v>
      </c>
      <c r="H106" s="29" t="str">
        <f>IFERROR(__xludf.DUMMYFUNCTION("""COMPUTED_VALUE"""),"http://www.editora.ufpb.br/sistema/press5/index.php/UFPB/catalog/book/147")</f>
        <v>http://www.editora.ufpb.br/sistema/press5/index.php/UFPB/catalog/book/147</v>
      </c>
      <c r="I106" s="24" t="str">
        <f>IFERROR(__xludf.DUMMYFUNCTION("""COMPUTED_VALUE"""),"Ciências da Saúde")</f>
        <v>Ciências da Saúde</v>
      </c>
    </row>
    <row r="107">
      <c r="A107" s="24" t="str">
        <f>IFERROR(__xludf.DUMMYFUNCTION("""COMPUTED_VALUE"""),"Mudanças Ambientais, Desastres e Vulnerabilidade Social")</f>
        <v>Mudanças Ambientais, Desastres e Vulnerabilidade Social</v>
      </c>
      <c r="B107" s="24" t="str">
        <f>IFERROR(__xludf.DUMMYFUNCTION("""COMPUTED_VALUE"""),"Eduardo Augusto Werneck Ribeiro. Marina Miranda. Rafael Catão de Castro")</f>
        <v>Eduardo Augusto Werneck Ribeiro. Marina Miranda. Rafael Catão de Castro</v>
      </c>
      <c r="C107" s="24" t="str">
        <f>IFERROR(__xludf.DUMMYFUNCTION("""COMPUTED_VALUE"""),"Blumenau")</f>
        <v>Blumenau</v>
      </c>
      <c r="D107" s="24" t="str">
        <f>IFERROR(__xludf.DUMMYFUNCTION("""COMPUTED_VALUE"""),"Instituto Federal Catarinense")</f>
        <v>Instituto Federal Catarinense</v>
      </c>
      <c r="E107" s="25">
        <f>IFERROR(__xludf.DUMMYFUNCTION("""COMPUTED_VALUE"""),2019.0)</f>
        <v>2019</v>
      </c>
      <c r="F107" s="24" t="str">
        <f>IFERROR(__xludf.DUMMYFUNCTION("""COMPUTED_VALUE"""),"Violência urbana. Saúde - idosos. Saúde Mental. Desastres climáticos. Saúde Pública")</f>
        <v>Violência urbana. Saúde - idosos. Saúde Mental. Desastres climáticos. Saúde Pública</v>
      </c>
      <c r="G107" s="28" t="str">
        <f>IFERROR(__xludf.DUMMYFUNCTION("""COMPUTED_VALUE"""),"9788556440365")</f>
        <v>9788556440365</v>
      </c>
      <c r="H107" s="29" t="str">
        <f>IFERROR(__xludf.DUMMYFUNCTION("""COMPUTED_VALUE"""),"https://editora.ifc.edu.br/2019/09/09/mudancas-ambientais-desastres-e-vulnerabilidade-social/")</f>
        <v>https://editora.ifc.edu.br/2019/09/09/mudancas-ambientais-desastres-e-vulnerabilidade-social/</v>
      </c>
      <c r="I107" s="24" t="str">
        <f>IFERROR(__xludf.DUMMYFUNCTION("""COMPUTED_VALUE"""),"Ciências da Saúde")</f>
        <v>Ciências da Saúde</v>
      </c>
    </row>
    <row r="108">
      <c r="A108" s="24" t="str">
        <f>IFERROR(__xludf.DUMMYFUNCTION("""COMPUTED_VALUE"""),"Mudanças Curriculares em Odontologia")</f>
        <v>Mudanças Curriculares em Odontologia</v>
      </c>
      <c r="B108" s="24" t="str">
        <f>IFERROR(__xludf.DUMMYFUNCTION("""COMPUTED_VALUE"""),"Lívia Lopes Fonteles Serrano Dantas, Maria de Fátima Antero Sousa Machado, Dulce Maria de Lucena Aguiar")</f>
        <v>Lívia Lopes Fonteles Serrano Dantas, Maria de Fátima Antero Sousa Machado, Dulce Maria de Lucena Aguiar</v>
      </c>
      <c r="C108" s="24" t="str">
        <f>IFERROR(__xludf.DUMMYFUNCTION("""COMPUTED_VALUE"""),"Sobral")</f>
        <v>Sobral</v>
      </c>
      <c r="D108" s="24" t="str">
        <f>IFERROR(__xludf.DUMMYFUNCTION("""COMPUTED_VALUE"""),"Edições UVA")</f>
        <v>Edições UVA</v>
      </c>
      <c r="E108" s="25">
        <f>IFERROR(__xludf.DUMMYFUNCTION("""COMPUTED_VALUE"""),2017.0)</f>
        <v>2017</v>
      </c>
      <c r="F108" s="24" t="str">
        <f>IFERROR(__xludf.DUMMYFUNCTION("""COMPUTED_VALUE"""),"Odontologia, Ensino, Mudanças curriculares, Currículo")</f>
        <v>Odontologia, Ensino, Mudanças curriculares, Currículo</v>
      </c>
      <c r="G108" s="28" t="str">
        <f>IFERROR(__xludf.DUMMYFUNCTION("""COMPUTED_VALUE"""),"9788595390126")</f>
        <v>9788595390126</v>
      </c>
      <c r="H108" s="29" t="str">
        <f>IFERROR(__xludf.DUMMYFUNCTION("""COMPUTED_VALUE"""),"http://www.uvanet.br/edicoes_uva/gera_xml.php?arquivo=mudancas_curriculares")</f>
        <v>http://www.uvanet.br/edicoes_uva/gera_xml.php?arquivo=mudancas_curriculares</v>
      </c>
      <c r="I108" s="24" t="str">
        <f>IFERROR(__xludf.DUMMYFUNCTION("""COMPUTED_VALUE"""),"Ciências da Saúde")</f>
        <v>Ciências da Saúde</v>
      </c>
    </row>
    <row r="109">
      <c r="A109" s="24" t="str">
        <f>IFERROR(__xludf.DUMMYFUNCTION("""COMPUTED_VALUE"""),"Multiplicando os Gêneros nas Práticas em Saúde")</f>
        <v>Multiplicando os Gêneros nas Práticas em Saúde</v>
      </c>
      <c r="B109" s="24" t="str">
        <f>IFERROR(__xludf.DUMMYFUNCTION("""COMPUTED_VALUE"""),"Alexandre Costa Val; Fernando Machado Vilhena Dias; Gabriela de Lima Gomes")</f>
        <v>Alexandre Costa Val; Fernando Machado Vilhena Dias; Gabriela de Lima Gomes</v>
      </c>
      <c r="C109" s="24" t="str">
        <f>IFERROR(__xludf.DUMMYFUNCTION("""COMPUTED_VALUE"""),"Ouro Preto")</f>
        <v>Ouro Preto</v>
      </c>
      <c r="D109" s="24" t="str">
        <f>IFERROR(__xludf.DUMMYFUNCTION("""COMPUTED_VALUE"""),"UFOP")</f>
        <v>UFOP</v>
      </c>
      <c r="E109" s="25">
        <f>IFERROR(__xludf.DUMMYFUNCTION("""COMPUTED_VALUE"""),2016.0)</f>
        <v>2016</v>
      </c>
      <c r="F109" s="24" t="str">
        <f>IFERROR(__xludf.DUMMYFUNCTION("""COMPUTED_VALUE"""),"Multiplicidade. Sexualidade. Sociedade")</f>
        <v>Multiplicidade. Sexualidade. Sociedade</v>
      </c>
      <c r="G109" s="28" t="str">
        <f>IFERROR(__xludf.DUMMYFUNCTION("""COMPUTED_VALUE"""),"9788528803501")</f>
        <v>9788528803501</v>
      </c>
      <c r="H109" s="29" t="str">
        <f>IFERROR(__xludf.DUMMYFUNCTION("""COMPUTED_VALUE"""),"https://www.editora.ufop.br/index.php/editora/catalog/view/103/81/260-1")</f>
        <v>https://www.editora.ufop.br/index.php/editora/catalog/view/103/81/260-1</v>
      </c>
      <c r="I109" s="24" t="str">
        <f>IFERROR(__xludf.DUMMYFUNCTION("""COMPUTED_VALUE"""),"Ciências da Saúde")</f>
        <v>Ciências da Saúde</v>
      </c>
    </row>
    <row r="110">
      <c r="A110" s="24" t="str">
        <f>IFERROR(__xludf.DUMMYFUNCTION("""COMPUTED_VALUE"""),"Nanobiotecnologia e Câncer: aplicações, avanços e perspectivas")</f>
        <v>Nanobiotecnologia e Câncer: aplicações, avanços e perspectivas</v>
      </c>
      <c r="B110" s="24" t="str">
        <f>IFERROR(__xludf.DUMMYFUNCTION("""COMPUTED_VALUE"""),"Yorran Hardman A. Montenegro; Karla Patrícia de Oliveira Luna ")</f>
        <v>Yorran Hardman A. Montenegro; Karla Patrícia de Oliveira Luna </v>
      </c>
      <c r="C110" s="24" t="str">
        <f>IFERROR(__xludf.DUMMYFUNCTION("""COMPUTED_VALUE"""),"Campina Grande")</f>
        <v>Campina Grande</v>
      </c>
      <c r="D110" s="24" t="str">
        <f>IFERROR(__xludf.DUMMYFUNCTION("""COMPUTED_VALUE"""),"EDUEPB")</f>
        <v>EDUEPB</v>
      </c>
      <c r="E110" s="25">
        <f>IFERROR(__xludf.DUMMYFUNCTION("""COMPUTED_VALUE"""),2019.0)</f>
        <v>2019</v>
      </c>
      <c r="F110" s="24" t="str">
        <f>IFERROR(__xludf.DUMMYFUNCTION("""COMPUTED_VALUE"""),"Biotecnologia. Nanobiotecnologia. Câncer. Nanomedicina. Biossensores.Terapia gênica")</f>
        <v>Biotecnologia. Nanobiotecnologia. Câncer. Nanomedicina. Biossensores.Terapia gênica</v>
      </c>
      <c r="G110" s="28" t="str">
        <f>IFERROR(__xludf.DUMMYFUNCTION("""COMPUTED_VALUE"""),"9788578795894")</f>
        <v>9788578795894</v>
      </c>
      <c r="H110" s="29" t="str">
        <f>IFERROR(__xludf.DUMMYFUNCTION("""COMPUTED_VALUE"""),"http://eduepb.uepb.edu.br/download/nanobiotecnologiacancer/?wpdmdl=847&amp;#038;masterkey=5d8e0676c9b18")</f>
        <v>http://eduepb.uepb.edu.br/download/nanobiotecnologiacancer/?wpdmdl=847&amp;#038;masterkey=5d8e0676c9b18</v>
      </c>
      <c r="I110" s="24" t="str">
        <f>IFERROR(__xludf.DUMMYFUNCTION("""COMPUTED_VALUE"""),"Ciências da Saúde")</f>
        <v>Ciências da Saúde</v>
      </c>
    </row>
    <row r="111">
      <c r="A111" s="24" t="str">
        <f>IFERROR(__xludf.DUMMYFUNCTION("""COMPUTED_VALUE"""),"Novos temas para se pensar a Geografia da Saúde")</f>
        <v>Novos temas para se pensar a Geografia da Saúde</v>
      </c>
      <c r="B111" s="24" t="str">
        <f>IFERROR(__xludf.DUMMYFUNCTION("""COMPUTED_VALUE"""),"Eduardo Augusto Werneck Ribeiro")</f>
        <v>Eduardo Augusto Werneck Ribeiro</v>
      </c>
      <c r="C111" s="24" t="str">
        <f>IFERROR(__xludf.DUMMYFUNCTION("""COMPUTED_VALUE"""),"Blumenau")</f>
        <v>Blumenau</v>
      </c>
      <c r="D111" s="24" t="str">
        <f>IFERROR(__xludf.DUMMYFUNCTION("""COMPUTED_VALUE"""),"Instituto Federal Catarinense")</f>
        <v>Instituto Federal Catarinense</v>
      </c>
      <c r="E111" s="25">
        <f>IFERROR(__xludf.DUMMYFUNCTION("""COMPUTED_VALUE"""),2019.0)</f>
        <v>2019</v>
      </c>
      <c r="F111" s="24" t="str">
        <f>IFERROR(__xludf.DUMMYFUNCTION("""COMPUTED_VALUE"""),"Saúde pública. Sistema Único de Saúde")</f>
        <v>Saúde pública. Sistema Único de Saúde</v>
      </c>
      <c r="G111" s="28" t="str">
        <f>IFERROR(__xludf.DUMMYFUNCTION("""COMPUTED_VALUE"""),"9788556440297")</f>
        <v>9788556440297</v>
      </c>
      <c r="H111" s="29" t="str">
        <f>IFERROR(__xludf.DUMMYFUNCTION("""COMPUTED_VALUE"""),"https://editora.ifc.edu.br/2019/01/02/novos-temas-para-se-pensar-a-geografia-da-saude/")</f>
        <v>https://editora.ifc.edu.br/2019/01/02/novos-temas-para-se-pensar-a-geografia-da-saude/</v>
      </c>
      <c r="I111" s="24" t="str">
        <f>IFERROR(__xludf.DUMMYFUNCTION("""COMPUTED_VALUE"""),"Ciências da Saúde")</f>
        <v>Ciências da Saúde</v>
      </c>
    </row>
    <row r="112">
      <c r="A112" s="24" t="str">
        <f>IFERROR(__xludf.DUMMYFUNCTION("""COMPUTED_VALUE"""),"Nutrição Parenteral: Uma Abordagem Metabólica para Nutricionistas")</f>
        <v>Nutrição Parenteral: Uma Abordagem Metabólica para Nutricionistas</v>
      </c>
      <c r="B112" s="24" t="str">
        <f>IFERROR(__xludf.DUMMYFUNCTION("""COMPUTED_VALUE"""),"Maria José de Carvalho Costa; Eliseuda Marinho de Silva")</f>
        <v>Maria José de Carvalho Costa; Eliseuda Marinho de Silva</v>
      </c>
      <c r="C112" s="24" t="str">
        <f>IFERROR(__xludf.DUMMYFUNCTION("""COMPUTED_VALUE"""),"João Pessoa")</f>
        <v>João Pessoa</v>
      </c>
      <c r="D112" s="24" t="str">
        <f>IFERROR(__xludf.DUMMYFUNCTION("""COMPUTED_VALUE"""),"Editora da UFPB")</f>
        <v>Editora da UFPB</v>
      </c>
      <c r="E112" s="25">
        <f>IFERROR(__xludf.DUMMYFUNCTION("""COMPUTED_VALUE"""),2014.0)</f>
        <v>2014</v>
      </c>
      <c r="F112" s="24" t="str">
        <f>IFERROR(__xludf.DUMMYFUNCTION("""COMPUTED_VALUE"""),"Nutrição. Nutrição parenteral. Terapia nutricional parenteral")</f>
        <v>Nutrição. Nutrição parenteral. Terapia nutricional parenteral</v>
      </c>
      <c r="G112" s="28" t="str">
        <f>IFERROR(__xludf.DUMMYFUNCTION("""COMPUTED_VALUE"""),"9788523708702")</f>
        <v>9788523708702</v>
      </c>
      <c r="H112" s="29" t="str">
        <f>IFERROR(__xludf.DUMMYFUNCTION("""COMPUTED_VALUE"""),"http://www.editora.ufpb.br/sistema/press5/index.php/UFPB/catalog/book/203")</f>
        <v>http://www.editora.ufpb.br/sistema/press5/index.php/UFPB/catalog/book/203</v>
      </c>
      <c r="I112" s="24" t="str">
        <f>IFERROR(__xludf.DUMMYFUNCTION("""COMPUTED_VALUE"""),"Ciências da Saúde")</f>
        <v>Ciências da Saúde</v>
      </c>
    </row>
    <row r="113">
      <c r="A113" s="24" t="str">
        <f>IFERROR(__xludf.DUMMYFUNCTION("""COMPUTED_VALUE"""),"O curso de enfermagem da UEMS: um estudo da primeira turma de egressos - 1998")</f>
        <v>O curso de enfermagem da UEMS: um estudo da primeira turma de egressos - 1998</v>
      </c>
      <c r="B113" s="24" t="str">
        <f>IFERROR(__xludf.DUMMYFUNCTION("""COMPUTED_VALUE"""),"Lourdes Missio")</f>
        <v>Lourdes Missio</v>
      </c>
      <c r="C113" s="24" t="str">
        <f>IFERROR(__xludf.DUMMYFUNCTION("""COMPUTED_VALUE"""),"Dourados, MS")</f>
        <v>Dourados, MS</v>
      </c>
      <c r="D113" s="24" t="str">
        <f>IFERROR(__xludf.DUMMYFUNCTION("""COMPUTED_VALUE"""),"Editora UEMS")</f>
        <v>Editora UEMS</v>
      </c>
      <c r="E113" s="25">
        <f>IFERROR(__xludf.DUMMYFUNCTION("""COMPUTED_VALUE"""),2014.0)</f>
        <v>2014</v>
      </c>
      <c r="F113" s="24" t="str">
        <f>IFERROR(__xludf.DUMMYFUNCTION("""COMPUTED_VALUE"""),"Enfermagem; Egressos; UEMS")</f>
        <v>Enfermagem; Egressos; UEMS</v>
      </c>
      <c r="G113" s="28" t="str">
        <f>IFERROR(__xludf.DUMMYFUNCTION("""COMPUTED_VALUE"""),"9788599880609")</f>
        <v>9788599880609</v>
      </c>
      <c r="H113" s="29" t="str">
        <f>IFERROR(__xludf.DUMMYFUNCTION("""COMPUTED_VALUE"""),"http://www.uems.br/assets/uploads/editora/arquivos/4_2016-09-29_16-52-43.pdf")</f>
        <v>http://www.uems.br/assets/uploads/editora/arquivos/4_2016-09-29_16-52-43.pdf</v>
      </c>
      <c r="I113" s="24" t="str">
        <f>IFERROR(__xludf.DUMMYFUNCTION("""COMPUTED_VALUE"""),"Ciências da Saúde")</f>
        <v>Ciências da Saúde</v>
      </c>
    </row>
    <row r="114">
      <c r="A114" s="24" t="str">
        <f>IFERROR(__xludf.DUMMYFUNCTION("""COMPUTED_VALUE"""),"O outro: entre a cura e o cuidar ; tributo a Dr. Olivier")</f>
        <v>O outro: entre a cura e o cuidar ; tributo a Dr. Olivier</v>
      </c>
      <c r="B114" s="24" t="str">
        <f>IFERROR(__xludf.DUMMYFUNCTION("""COMPUTED_VALUE"""),"Evani Moreira Pedreira dos Santos")</f>
        <v>Evani Moreira Pedreira dos Santos</v>
      </c>
      <c r="C114" s="24" t="str">
        <f>IFERROR(__xludf.DUMMYFUNCTION("""COMPUTED_VALUE"""),"Ilhéus, BA")</f>
        <v>Ilhéus, BA</v>
      </c>
      <c r="D114" s="24" t="str">
        <f>IFERROR(__xludf.DUMMYFUNCTION("""COMPUTED_VALUE"""),"Editus")</f>
        <v>Editus</v>
      </c>
      <c r="E114" s="25">
        <f>IFERROR(__xludf.DUMMYFUNCTION("""COMPUTED_VALUE"""),2007.0)</f>
        <v>2007</v>
      </c>
      <c r="F114" s="24" t="str">
        <f>IFERROR(__xludf.DUMMYFUNCTION("""COMPUTED_VALUE"""),"Médico e paciente; Humanização na saúde; Fenomenologia existencial; Pacientes; Olivieri, Durval Pessoa, 1918-1993 - Biografia")</f>
        <v>Médico e paciente; Humanização na saúde; Fenomenologia existencial; Pacientes; Olivieri, Durval Pessoa, 1918-1993 - Biografia</v>
      </c>
      <c r="G114" s="28" t="str">
        <f>IFERROR(__xludf.DUMMYFUNCTION("""COMPUTED_VALUE"""),"9788574551333")</f>
        <v>9788574551333</v>
      </c>
      <c r="H114" s="29" t="str">
        <f>IFERROR(__xludf.DUMMYFUNCTION("""COMPUTED_VALUE"""),"http://www.uesc.br/editora/livrosdigitais2015/o_outro_entre_a_cura_e_o_cuidado.pdf")</f>
        <v>http://www.uesc.br/editora/livrosdigitais2015/o_outro_entre_a_cura_e_o_cuidado.pdf</v>
      </c>
      <c r="I114" s="24" t="str">
        <f>IFERROR(__xludf.DUMMYFUNCTION("""COMPUTED_VALUE"""),"Ciências da Saúde")</f>
        <v>Ciências da Saúde</v>
      </c>
    </row>
    <row r="115">
      <c r="A115" s="24" t="str">
        <f>IFERROR(__xludf.DUMMYFUNCTION("""COMPUTED_VALUE"""),"O parentesco imaginário: história e representação social da loucura nas relações do espaço asilar ")</f>
        <v>O parentesco imaginário: história e representação social da loucura nas relações do espaço asilar </v>
      </c>
      <c r="B115" s="24" t="str">
        <f>IFERROR(__xludf.DUMMYFUNCTION("""COMPUTED_VALUE"""),"Cristina Loyola Miranda")</f>
        <v>Cristina Loyola Miranda</v>
      </c>
      <c r="C115" s="24" t="str">
        <f>IFERROR(__xludf.DUMMYFUNCTION("""COMPUTED_VALUE"""),"Rio de Janeiro")</f>
        <v>Rio de Janeiro</v>
      </c>
      <c r="D115" s="24" t="str">
        <f>IFERROR(__xludf.DUMMYFUNCTION("""COMPUTED_VALUE"""),"Editora UFRJ")</f>
        <v>Editora UFRJ</v>
      </c>
      <c r="E115" s="25">
        <f>IFERROR(__xludf.DUMMYFUNCTION("""COMPUTED_VALUE"""),1994.0)</f>
        <v>1994</v>
      </c>
      <c r="F115" s="24" t="str">
        <f>IFERROR(__xludf.DUMMYFUNCTION("""COMPUTED_VALUE"""),"Enfermagem psiquiatrica; Psiquiatria; Paciente; Espaço asilar")</f>
        <v>Enfermagem psiquiatrica; Psiquiatria; Paciente; Espaço asilar</v>
      </c>
      <c r="G115" s="28" t="str">
        <f>IFERROR(__xludf.DUMMYFUNCTION("""COMPUTED_VALUE"""),"8524905159")</f>
        <v>8524905159</v>
      </c>
      <c r="H115" s="29" t="str">
        <f>IFERROR(__xludf.DUMMYFUNCTION("""COMPUTED_VALUE"""),"http://www.editora.ufrj.br/DynamicItems/livrosabertos-1/ParentescoImaginario_compressed.pdf")</f>
        <v>http://www.editora.ufrj.br/DynamicItems/livrosabertos-1/ParentescoImaginario_compressed.pdf</v>
      </c>
      <c r="I115" s="24" t="str">
        <f>IFERROR(__xludf.DUMMYFUNCTION("""COMPUTED_VALUE"""),"Ciências da Saúde")</f>
        <v>Ciências da Saúde</v>
      </c>
    </row>
    <row r="116">
      <c r="A116" s="24" t="str">
        <f>IFERROR(__xludf.DUMMYFUNCTION("""COMPUTED_VALUE"""),"O processo investigativo e a formação profissional em educação física")</f>
        <v>O processo investigativo e a formação profissional em educação física</v>
      </c>
      <c r="B116" s="24" t="str">
        <f>IFERROR(__xludf.DUMMYFUNCTION("""COMPUTED_VALUE"""),"Elisabeth Baretta, Gracielle Fin, Leoberto Ricardo Grigollo, Rudy José Nodari Júnior")</f>
        <v>Elisabeth Baretta, Gracielle Fin, Leoberto Ricardo Grigollo, Rudy José Nodari Júnior</v>
      </c>
      <c r="C116" s="24" t="str">
        <f>IFERROR(__xludf.DUMMYFUNCTION("""COMPUTED_VALUE"""),"Joaçaba")</f>
        <v>Joaçaba</v>
      </c>
      <c r="D116" s="24" t="str">
        <f>IFERROR(__xludf.DUMMYFUNCTION("""COMPUTED_VALUE"""),"Unoesc")</f>
        <v>Unoesc</v>
      </c>
      <c r="E116" s="25">
        <f>IFERROR(__xludf.DUMMYFUNCTION("""COMPUTED_VALUE"""),2017.0)</f>
        <v>2017</v>
      </c>
      <c r="F116" s="24" t="str">
        <f>IFERROR(__xludf.DUMMYFUNCTION("""COMPUTED_VALUE"""),"Educação física, Formação profissional")</f>
        <v>Educação física, Formação profissional</v>
      </c>
      <c r="G116" s="28" t="str">
        <f>IFERROR(__xludf.DUMMYFUNCTION("""COMPUTED_VALUE"""),"9788584221295")</f>
        <v>9788584221295</v>
      </c>
      <c r="H116" s="29" t="str">
        <f>IFERROR(__xludf.DUMMYFUNCTION("""COMPUTED_VALUE"""),"https://www.unoesc.edu.br/images/uploads/editora/praticas_educativas_e_de_investigacao_na_escola.pdf")</f>
        <v>https://www.unoesc.edu.br/images/uploads/editora/praticas_educativas_e_de_investigacao_na_escola.pdf</v>
      </c>
      <c r="I116" s="24" t="str">
        <f>IFERROR(__xludf.DUMMYFUNCTION("""COMPUTED_VALUE"""),"Ciências da Saúde")</f>
        <v>Ciências da Saúde</v>
      </c>
    </row>
    <row r="117">
      <c r="A117" s="24" t="str">
        <f>IFERROR(__xludf.DUMMYFUNCTION("""COMPUTED_VALUE"""),"O programa mais médicos nos estados do Rio de Janeiro e do Espírito Santo: significados, resultados e sustentabilidade")</f>
        <v>O programa mais médicos nos estados do Rio de Janeiro e do Espírito Santo: significados, resultados e sustentabilidade</v>
      </c>
      <c r="B117" s="24" t="str">
        <f>IFERROR(__xludf.DUMMYFUNCTION("""COMPUTED_VALUE"""),"Paulo Roberto Volpato, Márcia Maria Pereira Rendeiro, José Mendes Ribeiro, Marcelo Rasga Moreira (Orgs.)")</f>
        <v>Paulo Roberto Volpato, Márcia Maria Pereira Rendeiro, José Mendes Ribeiro, Marcelo Rasga Moreira (Orgs.)</v>
      </c>
      <c r="C117" s="24" t="str">
        <f>IFERROR(__xludf.DUMMYFUNCTION("""COMPUTED_VALUE"""),"Rio de Janeiro")</f>
        <v>Rio de Janeiro</v>
      </c>
      <c r="D117" s="24" t="str">
        <f>IFERROR(__xludf.DUMMYFUNCTION("""COMPUTED_VALUE"""),"EdUERJ")</f>
        <v>EdUERJ</v>
      </c>
      <c r="E117" s="25">
        <f>IFERROR(__xludf.DUMMYFUNCTION("""COMPUTED_VALUE"""),2018.0)</f>
        <v>2018</v>
      </c>
      <c r="F117" s="24" t="str">
        <f>IFERROR(__xludf.DUMMYFUNCTION("""COMPUTED_VALUE"""),"Assistência médica; Medicina popular; Medicina preventiva;. Programa Federal de Saúde")</f>
        <v>Assistência médica; Medicina popular; Medicina preventiva;. Programa Federal de Saúde</v>
      </c>
      <c r="G117" s="28" t="str">
        <f>IFERROR(__xludf.DUMMYFUNCTION("""COMPUTED_VALUE"""),"9788575114261")</f>
        <v>9788575114261</v>
      </c>
      <c r="H117" s="29" t="str">
        <f>IFERROR(__xludf.DUMMYFUNCTION("""COMPUTED_VALUE"""),"https://www.eduerj.com/eng/?product=o-programa-mais-medicos-nos-estados-do-rio-de-janeiro-e-do-espirito-santo-significados-resultados-e-sustentabilidade")</f>
        <v>https://www.eduerj.com/eng/?product=o-programa-mais-medicos-nos-estados-do-rio-de-janeiro-e-do-espirito-santo-significados-resultados-e-sustentabilidade</v>
      </c>
      <c r="I117" s="24" t="str">
        <f>IFERROR(__xludf.DUMMYFUNCTION("""COMPUTED_VALUE"""),"Ciências da Saúde")</f>
        <v>Ciências da Saúde</v>
      </c>
    </row>
    <row r="118">
      <c r="A118" s="24" t="str">
        <f>IFERROR(__xludf.DUMMYFUNCTION("""COMPUTED_VALUE"""),"O trabalhar como médicos obstetras (disponível temporariamente)")</f>
        <v>O trabalhar como médicos obstetras (disponível temporariamente)</v>
      </c>
      <c r="B118" s="24" t="str">
        <f>IFERROR(__xludf.DUMMYFUNCTION("""COMPUTED_VALUE"""),"Jéssika Sonaly Vasconcelos Barbosa, Paulo César Zambroni de Souza.")</f>
        <v>Jéssika Sonaly Vasconcelos Barbosa, Paulo César Zambroni de Souza.</v>
      </c>
      <c r="C118" s="24" t="str">
        <f>IFERROR(__xludf.DUMMYFUNCTION("""COMPUTED_VALUE"""),"João Pessoa")</f>
        <v>João Pessoa</v>
      </c>
      <c r="D118" s="24" t="str">
        <f>IFERROR(__xludf.DUMMYFUNCTION("""COMPUTED_VALUE"""),"Editora da UFPB")</f>
        <v>Editora da UFPB</v>
      </c>
      <c r="E118" s="25">
        <f>IFERROR(__xludf.DUMMYFUNCTION("""COMPUTED_VALUE"""),2017.0)</f>
        <v>2017</v>
      </c>
      <c r="F118" s="24" t="str">
        <f>IFERROR(__xludf.DUMMYFUNCTION("""COMPUTED_VALUE"""),"Psicologia social; Trabalho médico; Obstetrícia; Psicodinâmica do trabalho")</f>
        <v>Psicologia social; Trabalho médico; Obstetrícia; Psicodinâmica do trabalho</v>
      </c>
      <c r="G118" s="28" t="str">
        <f>IFERROR(__xludf.DUMMYFUNCTION("""COMPUTED_VALUE"""),"9788523712945")</f>
        <v>9788523712945</v>
      </c>
      <c r="H118" s="29" t="str">
        <f>IFERROR(__xludf.DUMMYFUNCTION("""COMPUTED_VALUE"""),"http://www.editora.ufpb.br/sistema/press5/index.php/UFPB/catalog/book/350")</f>
        <v>http://www.editora.ufpb.br/sistema/press5/index.php/UFPB/catalog/book/350</v>
      </c>
      <c r="I118" s="24" t="str">
        <f>IFERROR(__xludf.DUMMYFUNCTION("""COMPUTED_VALUE"""),"Ciências da Saúde")</f>
        <v>Ciências da Saúde</v>
      </c>
    </row>
    <row r="119">
      <c r="A119" s="24" t="str">
        <f>IFERROR(__xludf.DUMMYFUNCTION("""COMPUTED_VALUE"""),"Os dóceis corpos do hospital: as enfermeiras e o poder institucional na estrutura hospitalar")</f>
        <v>Os dóceis corpos do hospital: as enfermeiras e o poder institucional na estrutura hospitalar</v>
      </c>
      <c r="B119" s="24" t="str">
        <f>IFERROR(__xludf.DUMMYFUNCTION("""COMPUTED_VALUE"""),"Cristina Maria Douat Loyola")</f>
        <v>Cristina Maria Douat Loyola</v>
      </c>
      <c r="C119" s="24" t="str">
        <f>IFERROR(__xludf.DUMMYFUNCTION("""COMPUTED_VALUE"""),"Rio de Janeiro")</f>
        <v>Rio de Janeiro</v>
      </c>
      <c r="D119" s="24" t="str">
        <f>IFERROR(__xludf.DUMMYFUNCTION("""COMPUTED_VALUE"""),"Editora UFRJ")</f>
        <v>Editora UFRJ</v>
      </c>
      <c r="E119" s="25">
        <f>IFERROR(__xludf.DUMMYFUNCTION("""COMPUTED_VALUE"""),1987.0)</f>
        <v>1987</v>
      </c>
      <c r="F119" s="24" t="str">
        <f>IFERROR(__xludf.DUMMYFUNCTION("""COMPUTED_VALUE"""),"Enfermagem; Hospital; Ciências Sociais")</f>
        <v>Enfermagem; Hospital; Ciências Sociais</v>
      </c>
      <c r="G119" s="26"/>
      <c r="H119" s="29" t="str">
        <f>IFERROR(__xludf.DUMMYFUNCTION("""COMPUTED_VALUE"""),"http://www.editora.ufrj.br/DynamicItems/livrosabertos-1/CorposHospital_compressed.pdf")</f>
        <v>http://www.editora.ufrj.br/DynamicItems/livrosabertos-1/CorposHospital_compressed.pdf</v>
      </c>
      <c r="I119" s="24" t="str">
        <f>IFERROR(__xludf.DUMMYFUNCTION("""COMPUTED_VALUE"""),"Ciências da Saúde")</f>
        <v>Ciências da Saúde</v>
      </c>
    </row>
    <row r="120">
      <c r="A120" s="24" t="str">
        <f>IFERROR(__xludf.DUMMYFUNCTION("""COMPUTED_VALUE"""),"Parteiras no Alto Purus: vida &amp; saber")</f>
        <v>Parteiras no Alto Purus: vida &amp; saber</v>
      </c>
      <c r="B120" s="24" t="str">
        <f>IFERROR(__xludf.DUMMYFUNCTION("""COMPUTED_VALUE"""),"Adelmar Santos de Araújo")</f>
        <v>Adelmar Santos de Araújo</v>
      </c>
      <c r="C120" s="24" t="str">
        <f>IFERROR(__xludf.DUMMYFUNCTION("""COMPUTED_VALUE"""),"Rio Branco")</f>
        <v>Rio Branco</v>
      </c>
      <c r="D120" s="24" t="str">
        <f>IFERROR(__xludf.DUMMYFUNCTION("""COMPUTED_VALUE"""),"Edufac")</f>
        <v>Edufac</v>
      </c>
      <c r="E120" s="25">
        <f>IFERROR(__xludf.DUMMYFUNCTION("""COMPUTED_VALUE"""),2019.0)</f>
        <v>2019</v>
      </c>
      <c r="F120" s="24" t="str">
        <f>IFERROR(__xludf.DUMMYFUNCTION("""COMPUTED_VALUE"""),"Parteiras; Parto (Obstetrícia); Alto Purus")</f>
        <v>Parteiras; Parto (Obstetrícia); Alto Purus</v>
      </c>
      <c r="G120" s="28" t="str">
        <f>IFERROR(__xludf.DUMMYFUNCTION("""COMPUTED_VALUE"""),"9788582361092")</f>
        <v>9788582361092</v>
      </c>
      <c r="H120" s="29" t="str">
        <f>IFERROR(__xludf.DUMMYFUNCTION("""COMPUTED_VALUE"""),"http://www2.ufac.br/editora/livros/PARTEIRAS.pdf")</f>
        <v>http://www2.ufac.br/editora/livros/PARTEIRAS.pdf</v>
      </c>
      <c r="I120" s="24" t="str">
        <f>IFERROR(__xludf.DUMMYFUNCTION("""COMPUTED_VALUE"""),"Ciências da Saúde")</f>
        <v>Ciências da Saúde</v>
      </c>
    </row>
    <row r="121">
      <c r="A121" s="24" t="str">
        <f>IFERROR(__xludf.DUMMYFUNCTION("""COMPUTED_VALUE"""),"Pesquisa em Educação Física: dimensões sociais e psicomotoras 2019")</f>
        <v>Pesquisa em Educação Física: dimensões sociais e psicomotoras 2019</v>
      </c>
      <c r="B121" s="24" t="str">
        <f>IFERROR(__xludf.DUMMYFUNCTION("""COMPUTED_VALUE"""),"Elisabeth Baretta, Gracielle Fin, Josiane Aparecida de Jesus, Renan Souza, Rudy José Nodari Júnior")</f>
        <v>Elisabeth Baretta, Gracielle Fin, Josiane Aparecida de Jesus, Renan Souza, Rudy José Nodari Júnior</v>
      </c>
      <c r="C121" s="24" t="str">
        <f>IFERROR(__xludf.DUMMYFUNCTION("""COMPUTED_VALUE"""),"Joaçaba")</f>
        <v>Joaçaba</v>
      </c>
      <c r="D121" s="24" t="str">
        <f>IFERROR(__xludf.DUMMYFUNCTION("""COMPUTED_VALUE"""),"Unoesc")</f>
        <v>Unoesc</v>
      </c>
      <c r="E121" s="25">
        <f>IFERROR(__xludf.DUMMYFUNCTION("""COMPUTED_VALUE"""),2019.0)</f>
        <v>2019</v>
      </c>
      <c r="F121" s="24" t="str">
        <f>IFERROR(__xludf.DUMMYFUNCTION("""COMPUTED_VALUE"""),"Capacidade motora, Educação física, Formação profissional")</f>
        <v>Capacidade motora, Educação física, Formação profissional</v>
      </c>
      <c r="G121" s="28" t="str">
        <f>IFERROR(__xludf.DUMMYFUNCTION("""COMPUTED_VALUE"""),"9788584222117")</f>
        <v>9788584222117</v>
      </c>
      <c r="H121" s="29" t="str">
        <f>IFERROR(__xludf.DUMMYFUNCTION("""COMPUTED_VALUE"""),"https://www.unoesc.edu.br/editora/livros-single/e-book-gratuito-pesquisa-em-educacaeo-fisica-dimensoes-sociais-e-psicomotor")</f>
        <v>https://www.unoesc.edu.br/editora/livros-single/e-book-gratuito-pesquisa-em-educacaeo-fisica-dimensoes-sociais-e-psicomotor</v>
      </c>
      <c r="I121" s="24" t="str">
        <f>IFERROR(__xludf.DUMMYFUNCTION("""COMPUTED_VALUE"""),"Ciências da Saúde")</f>
        <v>Ciências da Saúde</v>
      </c>
    </row>
    <row r="122">
      <c r="A122" s="24" t="str">
        <f>IFERROR(__xludf.DUMMYFUNCTION("""COMPUTED_VALUE"""),"Pesquisa em saúde: experiências do Centro de Saúde Escola do Marco, V.1")</f>
        <v>Pesquisa em saúde: experiências do Centro de Saúde Escola do Marco, V.1</v>
      </c>
      <c r="B122" s="24" t="str">
        <f>IFERROR(__xludf.DUMMYFUNCTION("""COMPUTED_VALUE"""),"Organização de Carneiro Nunes, Erica Feio; Renato da Costa Teixeira.")</f>
        <v>Organização de Carneiro Nunes, Erica Feio; Renato da Costa Teixeira.</v>
      </c>
      <c r="C122" s="24" t="str">
        <f>IFERROR(__xludf.DUMMYFUNCTION("""COMPUTED_VALUE"""),"Belém")</f>
        <v>Belém</v>
      </c>
      <c r="D122" s="24" t="str">
        <f>IFERROR(__xludf.DUMMYFUNCTION("""COMPUTED_VALUE"""),"UEPA")</f>
        <v>UEPA</v>
      </c>
      <c r="E122" s="25">
        <f>IFERROR(__xludf.DUMMYFUNCTION("""COMPUTED_VALUE"""),2019.0)</f>
        <v>2019</v>
      </c>
      <c r="F122" s="24" t="str">
        <f>IFERROR(__xludf.DUMMYFUNCTION("""COMPUTED_VALUE"""),"Educação em Saúde – Belém/Pa; Fisioterapia; Terapia Ocupacional")</f>
        <v>Educação em Saúde – Belém/Pa; Fisioterapia; Terapia Ocupacional</v>
      </c>
      <c r="G122" s="28" t="str">
        <f>IFERROR(__xludf.DUMMYFUNCTION("""COMPUTED_VALUE"""),"9788584580408")</f>
        <v>9788584580408</v>
      </c>
      <c r="H122" s="29" t="str">
        <f>IFERROR(__xludf.DUMMYFUNCTION("""COMPUTED_VALUE"""),"https://paginas.uepa.br/eduepa/wp-content/uploads/2020/02/PESQUISA-EM-SAUDE-2019.pdf")</f>
        <v>https://paginas.uepa.br/eduepa/wp-content/uploads/2020/02/PESQUISA-EM-SAUDE-2019.pdf</v>
      </c>
      <c r="I122" s="24" t="str">
        <f>IFERROR(__xludf.DUMMYFUNCTION("""COMPUTED_VALUE"""),"Ciências da Saúde")</f>
        <v>Ciências da Saúde</v>
      </c>
    </row>
    <row r="123">
      <c r="A123" s="24" t="str">
        <f>IFERROR(__xludf.DUMMYFUNCTION("""COMPUTED_VALUE"""),"Planejamento em Enfermagem: aplicação do Processo de Enfermagem na prática administrativa ")</f>
        <v>Planejamento em Enfermagem: aplicação do Processo de Enfermagem na prática administrativa </v>
      </c>
      <c r="B123" s="24" t="str">
        <f>IFERROR(__xludf.DUMMYFUNCTION("""COMPUTED_VALUE"""),"Ricardo Matos Santana, Ângela Tamiko Sato Tahara.")</f>
        <v>Ricardo Matos Santana, Ângela Tamiko Sato Tahara.</v>
      </c>
      <c r="C123" s="24" t="str">
        <f>IFERROR(__xludf.DUMMYFUNCTION("""COMPUTED_VALUE"""),"Ilhéus, BA")</f>
        <v>Ilhéus, BA</v>
      </c>
      <c r="D123" s="24" t="str">
        <f>IFERROR(__xludf.DUMMYFUNCTION("""COMPUTED_VALUE"""),"Editus")</f>
        <v>Editus</v>
      </c>
      <c r="E123" s="25">
        <f>IFERROR(__xludf.DUMMYFUNCTION("""COMPUTED_VALUE"""),2008.0)</f>
        <v>2008</v>
      </c>
      <c r="F123" s="24" t="str">
        <f>IFERROR(__xludf.DUMMYFUNCTION("""COMPUTED_VALUE"""),"Serviços de Enfermagem – Administração; Enfermagem prática; Saúde - Planejamento")</f>
        <v>Serviços de Enfermagem – Administração; Enfermagem prática; Saúde - Planejamento</v>
      </c>
      <c r="G123" s="28" t="str">
        <f>IFERROR(__xludf.DUMMYFUNCTION("""COMPUTED_VALUE"""),"9788574551531")</f>
        <v>9788574551531</v>
      </c>
      <c r="H123" s="29" t="str">
        <f>IFERROR(__xludf.DUMMYFUNCTION("""COMPUTED_VALUE"""),"http://www.uesc.br/editora/livrosdigitais2016/planejamento_em_enfermagem.pdf")</f>
        <v>http://www.uesc.br/editora/livrosdigitais2016/planejamento_em_enfermagem.pdf</v>
      </c>
      <c r="I123" s="24" t="str">
        <f>IFERROR(__xludf.DUMMYFUNCTION("""COMPUTED_VALUE"""),"Ciências da Saúde")</f>
        <v>Ciências da Saúde</v>
      </c>
    </row>
    <row r="124">
      <c r="A124" s="24" t="str">
        <f>IFERROR(__xludf.DUMMYFUNCTION("""COMPUTED_VALUE"""),"Plantas medicinais antidiabéticas: uma abordagem multidisciplinar")</f>
        <v>Plantas medicinais antidiabéticas: uma abordagem multidisciplinar</v>
      </c>
      <c r="B124" s="24" t="str">
        <f>IFERROR(__xludf.DUMMYFUNCTION("""COMPUTED_VALUE"""),"Luiz Antonio Ranzeiro de Bragança, coordenador.")</f>
        <v>Luiz Antonio Ranzeiro de Bragança, coordenador.</v>
      </c>
      <c r="C124" s="24" t="str">
        <f>IFERROR(__xludf.DUMMYFUNCTION("""COMPUTED_VALUE"""),"Niterói, RJ")</f>
        <v>Niterói, RJ</v>
      </c>
      <c r="D124" s="24" t="str">
        <f>IFERROR(__xludf.DUMMYFUNCTION("""COMPUTED_VALUE"""),"EDUFF")</f>
        <v>EDUFF</v>
      </c>
      <c r="E124" s="25">
        <f>IFERROR(__xludf.DUMMYFUNCTION("""COMPUTED_VALUE"""),1996.0)</f>
        <v>1996</v>
      </c>
      <c r="F124" s="24" t="str">
        <f>IFERROR(__xludf.DUMMYFUNCTION("""COMPUTED_VALUE"""),"Plantas medicinais")</f>
        <v>Plantas medicinais</v>
      </c>
      <c r="G124" s="28" t="str">
        <f>IFERROR(__xludf.DUMMYFUNCTION("""COMPUTED_VALUE"""),"8522801681")</f>
        <v>8522801681</v>
      </c>
      <c r="H124" s="29" t="str">
        <f>IFERROR(__xludf.DUMMYFUNCTION("""COMPUTED_VALUE"""),"http://www.eduff.uff.br/ebooks/Plantas-medicinais-antidiabeticas.pdf")</f>
        <v>http://www.eduff.uff.br/ebooks/Plantas-medicinais-antidiabeticas.pdf</v>
      </c>
      <c r="I124" s="24" t="str">
        <f>IFERROR(__xludf.DUMMYFUNCTION("""COMPUTED_VALUE"""),"Ciências da Saúde")</f>
        <v>Ciências da Saúde</v>
      </c>
    </row>
    <row r="125">
      <c r="A125" s="24" t="str">
        <f>IFERROR(__xludf.DUMMYFUNCTION("""COMPUTED_VALUE"""),"Plantas Medicinais E Hortaliças")</f>
        <v>Plantas Medicinais E Hortaliças</v>
      </c>
      <c r="B125" s="24" t="str">
        <f>IFERROR(__xludf.DUMMYFUNCTION("""COMPUTED_VALUE"""),"Ana Paula Santino Fialho; Clésia Oliveira Pachú; Elaine da Silva Gomes; Géssica Cruz Galvão; Irys Raphaella Gomes Ricarte; Jessica Sousa Freitas; Ricardo Belo")</f>
        <v>Ana Paula Santino Fialho; Clésia Oliveira Pachú; Elaine da Silva Gomes; Géssica Cruz Galvão; Irys Raphaella Gomes Ricarte; Jessica Sousa Freitas; Ricardo Belo</v>
      </c>
      <c r="C125" s="24" t="str">
        <f>IFERROR(__xludf.DUMMYFUNCTION("""COMPUTED_VALUE"""),"Campina Grande")</f>
        <v>Campina Grande</v>
      </c>
      <c r="D125" s="24" t="str">
        <f>IFERROR(__xludf.DUMMYFUNCTION("""COMPUTED_VALUE"""),"EDUEPB")</f>
        <v>EDUEPB</v>
      </c>
      <c r="E125" s="25">
        <f>IFERROR(__xludf.DUMMYFUNCTION("""COMPUTED_VALUE"""),2017.0)</f>
        <v>2017</v>
      </c>
      <c r="F125" s="24" t="str">
        <f>IFERROR(__xludf.DUMMYFUNCTION("""COMPUTED_VALUE"""),"Plantas medicinais; Atenção à saúde; Fitoterapia")</f>
        <v>Plantas medicinais; Atenção à saúde; Fitoterapia</v>
      </c>
      <c r="G125" s="28" t="str">
        <f>IFERROR(__xludf.DUMMYFUNCTION("""COMPUTED_VALUE"""),"9788578794521")</f>
        <v>9788578794521</v>
      </c>
      <c r="H125" s="29" t="str">
        <f>IFERROR(__xludf.DUMMYFUNCTION("""COMPUTED_VALUE"""),"http://eduepb.uepb.edu.br/download/plantas-medicinais-e-hortalicas/?wpdmdl=212&amp;amp;masterkey=5af9a0024423e")</f>
        <v>http://eduepb.uepb.edu.br/download/plantas-medicinais-e-hortalicas/?wpdmdl=212&amp;amp;masterkey=5af9a0024423e</v>
      </c>
      <c r="I125" s="24" t="str">
        <f>IFERROR(__xludf.DUMMYFUNCTION("""COMPUTED_VALUE"""),"Ciências da Saúde")</f>
        <v>Ciências da Saúde</v>
      </c>
    </row>
    <row r="126">
      <c r="A126" s="24" t="str">
        <f>IFERROR(__xludf.DUMMYFUNCTION("""COMPUTED_VALUE"""),"Política, planejamento e gestão participativa em saúde")</f>
        <v>Política, planejamento e gestão participativa em saúde</v>
      </c>
      <c r="B126" s="24" t="str">
        <f>IFERROR(__xludf.DUMMYFUNCTION("""COMPUTED_VALUE"""),"Helena Shimizu, Márcio Florentino Pereira, António José Costa Cardoso, (org.)).")</f>
        <v>Helena Shimizu, Márcio Florentino Pereira, António José Costa Cardoso, (org.)).</v>
      </c>
      <c r="C126" s="24" t="str">
        <f>IFERROR(__xludf.DUMMYFUNCTION("""COMPUTED_VALUE"""),"Brasília")</f>
        <v>Brasília</v>
      </c>
      <c r="D126" s="24" t="str">
        <f>IFERROR(__xludf.DUMMYFUNCTION("""COMPUTED_VALUE"""),"Editora Universidade de Brasília")</f>
        <v>Editora Universidade de Brasília</v>
      </c>
      <c r="E126" s="25">
        <f>IFERROR(__xludf.DUMMYFUNCTION("""COMPUTED_VALUE"""),2018.0)</f>
        <v>2018</v>
      </c>
      <c r="F126" s="24" t="str">
        <f>IFERROR(__xludf.DUMMYFUNCTION("""COMPUTED_VALUE"""),"Saúde – Gestão; Saúde – Planejamento; Saúde – Participação social")</f>
        <v>Saúde – Gestão; Saúde – Planejamento; Saúde – Participação social</v>
      </c>
      <c r="G126" s="28" t="str">
        <f>IFERROR(__xludf.DUMMYFUNCTION("""COMPUTED_VALUE"""),"9788523011345")</f>
        <v>9788523011345</v>
      </c>
      <c r="H126" s="29" t="str">
        <f>IFERROR(__xludf.DUMMYFUNCTION("""COMPUTED_VALUE"""),"https://livros.unb.br/index.php/portal/catalog/view/14/13/63-1")</f>
        <v>https://livros.unb.br/index.php/portal/catalog/view/14/13/63-1</v>
      </c>
      <c r="I126" s="24" t="str">
        <f>IFERROR(__xludf.DUMMYFUNCTION("""COMPUTED_VALUE"""),"Ciências da Saúde")</f>
        <v>Ciências da Saúde</v>
      </c>
    </row>
    <row r="127">
      <c r="A127" s="24" t="str">
        <f>IFERROR(__xludf.DUMMYFUNCTION("""COMPUTED_VALUE"""),"Práticas Complementares e Alternatividades em Saúde")</f>
        <v>Práticas Complementares e Alternatividades em Saúde</v>
      </c>
      <c r="B127" s="24" t="str">
        <f>IFERROR(__xludf.DUMMYFUNCTION("""COMPUTED_VALUE"""),"Eduardo Augusto Werneck Ribeiro, Martha Priscila Bezerra Pereira, Jane Kelly Oliveira Friestino")</f>
        <v>Eduardo Augusto Werneck Ribeiro, Martha Priscila Bezerra Pereira, Jane Kelly Oliveira Friestino</v>
      </c>
      <c r="C127" s="24" t="str">
        <f>IFERROR(__xludf.DUMMYFUNCTION("""COMPUTED_VALUE"""),"Blumenau")</f>
        <v>Blumenau</v>
      </c>
      <c r="D127" s="24" t="str">
        <f>IFERROR(__xludf.DUMMYFUNCTION("""COMPUTED_VALUE"""),"Instituto Federal Catarinense")</f>
        <v>Instituto Federal Catarinense</v>
      </c>
      <c r="E127" s="25">
        <f>IFERROR(__xludf.DUMMYFUNCTION("""COMPUTED_VALUE"""),2019.0)</f>
        <v>2019</v>
      </c>
      <c r="F127" s="24" t="str">
        <f>IFERROR(__xludf.DUMMYFUNCTION("""COMPUTED_VALUE"""),"Agricultura. Saúde coletiva. Violência doméstica. Medicina alternativa")</f>
        <v>Agricultura. Saúde coletiva. Violência doméstica. Medicina alternativa</v>
      </c>
      <c r="G127" s="28" t="str">
        <f>IFERROR(__xludf.DUMMYFUNCTION("""COMPUTED_VALUE"""),"9788556440389")</f>
        <v>9788556440389</v>
      </c>
      <c r="H127" s="29" t="str">
        <f>IFERROR(__xludf.DUMMYFUNCTION("""COMPUTED_VALUE"""),"https://editora.ifc.edu.br/2019/08/12/praticas-complementares-e-alternatividades-em-saude/")</f>
        <v>https://editora.ifc.edu.br/2019/08/12/praticas-complementares-e-alternatividades-em-saude/</v>
      </c>
      <c r="I127" s="24" t="str">
        <f>IFERROR(__xludf.DUMMYFUNCTION("""COMPUTED_VALUE"""),"Ciências da Saúde")</f>
        <v>Ciências da Saúde</v>
      </c>
    </row>
    <row r="128">
      <c r="A128" s="24" t="str">
        <f>IFERROR(__xludf.DUMMYFUNCTION("""COMPUTED_VALUE"""),"Práticas inovadoras da Rede UNA-SUS: tecnologias e estratégias pedagógicas para a promoção da Educação Permanente em Saúde")</f>
        <v>Práticas inovadoras da Rede UNA-SUS: tecnologias e estratégias pedagógicas para a promoção da Educação Permanente em Saúde</v>
      </c>
      <c r="B128" s="24" t="str">
        <f>IFERROR(__xludf.DUMMYFUNCTION("""COMPUTED_VALUE"""),"Waldeyde Oderilda Magalhães dos Santos Cleinaldo de Almeida Costa Jacqueline de Almeida Gonçalves Sachett Leonardo Naves dos Reis Mayana Fernandes Veras Desirée Emelly Dantas Gomes (org.)")</f>
        <v>Waldeyde Oderilda Magalhães dos Santos Cleinaldo de Almeida Costa Jacqueline de Almeida Gonçalves Sachett Leonardo Naves dos Reis Mayana Fernandes Veras Desirée Emelly Dantas Gomes (org.)</v>
      </c>
      <c r="C128" s="24" t="str">
        <f>IFERROR(__xludf.DUMMYFUNCTION("""COMPUTED_VALUE"""),"Porto Alegre")</f>
        <v>Porto Alegre</v>
      </c>
      <c r="D128" s="24" t="str">
        <f>IFERROR(__xludf.DUMMYFUNCTION("""COMPUTED_VALUE"""),"UFCSPA ")</f>
        <v>UFCSPA </v>
      </c>
      <c r="E128" s="25">
        <f>IFERROR(__xludf.DUMMYFUNCTION("""COMPUTED_VALUE"""),2018.0)</f>
        <v>2018</v>
      </c>
      <c r="F128" s="24" t="str">
        <f>IFERROR(__xludf.DUMMYFUNCTION("""COMPUTED_VALUE"""),"Educação Educação a distância Educação em saúde")</f>
        <v>Educação Educação a distância Educação em saúde</v>
      </c>
      <c r="G128" s="28" t="str">
        <f>IFERROR(__xludf.DUMMYFUNCTION("""COMPUTED_VALUE"""),"9788592652098")</f>
        <v>9788592652098</v>
      </c>
      <c r="H128" s="29" t="str">
        <f>IFERROR(__xludf.DUMMYFUNCTION("""COMPUTED_VALUE"""),"https://www.ufcspa.edu.br/editora_log/download.php?cod=007&amp;tipo=pdf")</f>
        <v>https://www.ufcspa.edu.br/editora_log/download.php?cod=007&amp;tipo=pdf</v>
      </c>
      <c r="I128" s="24" t="str">
        <f>IFERROR(__xludf.DUMMYFUNCTION("""COMPUTED_VALUE"""),"Ciências da Saúde")</f>
        <v>Ciências da Saúde</v>
      </c>
    </row>
    <row r="129">
      <c r="A129" s="24" t="str">
        <f>IFERROR(__xludf.DUMMYFUNCTION("""COMPUTED_VALUE"""),"Prevenção ao uso de álcool e outras drogas no contexto escolar")</f>
        <v>Prevenção ao uso de álcool e outras drogas no contexto escolar</v>
      </c>
      <c r="B129" s="24" t="str">
        <f>IFERROR(__xludf.DUMMYFUNCTION("""COMPUTED_VALUE"""),"Telmo Mota Ronzani, Pollyanna Santos da Silveira")</f>
        <v>Telmo Mota Ronzani, Pollyanna Santos da Silveira</v>
      </c>
      <c r="C129" s="24" t="str">
        <f>IFERROR(__xludf.DUMMYFUNCTION("""COMPUTED_VALUE"""),"Juiz de Fora")</f>
        <v>Juiz de Fora</v>
      </c>
      <c r="D129" s="24" t="str">
        <f>IFERROR(__xludf.DUMMYFUNCTION("""COMPUTED_VALUE"""),"Editora UFJF")</f>
        <v>Editora UFJF</v>
      </c>
      <c r="E129" s="25">
        <f>IFERROR(__xludf.DUMMYFUNCTION("""COMPUTED_VALUE"""),2014.0)</f>
        <v>2014</v>
      </c>
      <c r="F129" s="24" t="str">
        <f>IFERROR(__xludf.DUMMYFUNCTION("""COMPUTED_VALUE"""),"Alcoolismo - prevenção, Drogas ilícitas")</f>
        <v>Alcoolismo - prevenção, Drogas ilícitas</v>
      </c>
      <c r="G129" s="28" t="str">
        <f>IFERROR(__xludf.DUMMYFUNCTION("""COMPUTED_VALUE"""),"9788576722120")</f>
        <v>9788576722120</v>
      </c>
      <c r="H129" s="29" t="str">
        <f>IFERROR(__xludf.DUMMYFUNCTION("""COMPUTED_VALUE"""),"http://www2.ufjf.br/editora/wp-content/uploads/sites/113/2018/02/Cartilha.pdf")</f>
        <v>http://www2.ufjf.br/editora/wp-content/uploads/sites/113/2018/02/Cartilha.pdf</v>
      </c>
      <c r="I129" s="24" t="str">
        <f>IFERROR(__xludf.DUMMYFUNCTION("""COMPUTED_VALUE"""),"Ciências da Saúde")</f>
        <v>Ciências da Saúde</v>
      </c>
    </row>
    <row r="130">
      <c r="A130" s="24" t="str">
        <f>IFERROR(__xludf.DUMMYFUNCTION("""COMPUTED_VALUE"""),"Programa de residência multiprofissional em saúde do idoso: experiências e reflexões*")</f>
        <v>Programa de residência multiprofissional em saúde do idoso: experiências e reflexões*</v>
      </c>
      <c r="B130" s="24" t="str">
        <f>IFERROR(__xludf.DUMMYFUNCTION("""COMPUTED_VALUE"""),"Clóris Regina Blanki Grden, Luciane Patricia Andreni Cabral e Evertoson Augusto Krum")</f>
        <v>Clóris Regina Blanki Grden, Luciane Patricia Andreni Cabral e Evertoson Augusto Krum</v>
      </c>
      <c r="C130" s="24" t="str">
        <f>IFERROR(__xludf.DUMMYFUNCTION("""COMPUTED_VALUE"""),"Ponta Grossa")</f>
        <v>Ponta Grossa</v>
      </c>
      <c r="D130" s="24" t="str">
        <f>IFERROR(__xludf.DUMMYFUNCTION("""COMPUTED_VALUE"""),"Editora UEPG")</f>
        <v>Editora UEPG</v>
      </c>
      <c r="E130" s="25">
        <f>IFERROR(__xludf.DUMMYFUNCTION("""COMPUTED_VALUE"""),2020.0)</f>
        <v>2020</v>
      </c>
      <c r="F130" s="24" t="str">
        <f>IFERROR(__xludf.DUMMYFUNCTION("""COMPUTED_VALUE"""),"Esta obra foi elaborada com o intuito de contribuir com sustentações teóricas e práticas assistenciais sobre o trabalho multiprofissional em saúde direcionado à população de idosos brasileiros. Por meio de uma linguagem franca e acessível, oferece subsídi"&amp;"os para reflexões sobre a integralidade do cuidado ao indivíduo em seu processo de envelhecimento e promove discussões contemporâneas sobre condutas em saúde voltadas às reais necessidades e aos anseios dessa população")</f>
        <v>Esta obra foi elaborada com o intuito de contribuir com sustentações teóricas e práticas assistenciais sobre o trabalho multiprofissional em saúde direcionado à população de idosos brasileiros. Por meio de uma linguagem franca e acessível, oferece subsídios para reflexões sobre a integralidade do cuidado ao indivíduo em seu processo de envelhecimento e promove discussões contemporâneas sobre condutas em saúde voltadas às reais necessidades e aos anseios dessa população</v>
      </c>
      <c r="G130" s="28" t="str">
        <f>IFERROR(__xludf.DUMMYFUNCTION("""COMPUTED_VALUE"""),"9872340156586")</f>
        <v>9872340156586</v>
      </c>
      <c r="H130" s="29" t="str">
        <f>IFERROR(__xludf.DUMMYFUNCTION("""COMPUTED_VALUE"""),"https://portal-archipelagus.azurewebsites.net/farol/eduepg/ebook/programa-de-residencia-multiprofissional-em-saude-do-idoso-experiencias-e-reflexoes/1220554/")</f>
        <v>https://portal-archipelagus.azurewebsites.net/farol/eduepg/ebook/programa-de-residencia-multiprofissional-em-saude-do-idoso-experiencias-e-reflexoes/1220554/</v>
      </c>
      <c r="I130" s="24" t="str">
        <f>IFERROR(__xludf.DUMMYFUNCTION("""COMPUTED_VALUE"""),"Ciências da Saúde")</f>
        <v>Ciências da Saúde</v>
      </c>
    </row>
    <row r="131">
      <c r="A131" s="24" t="str">
        <f>IFERROR(__xludf.DUMMYFUNCTION("""COMPUTED_VALUE"""),"Promoção da Saúde em Ambientes Educacionais")</f>
        <v>Promoção da Saúde em Ambientes Educacionais</v>
      </c>
      <c r="B131" s="24" t="str">
        <f>IFERROR(__xludf.DUMMYFUNCTION("""COMPUTED_VALUE"""),"Maria de Fátima Antero Sousa Machado, Maria Rosilene Cândido Moreira, Heraldo Simões Ferreira")</f>
        <v>Maria de Fátima Antero Sousa Machado, Maria Rosilene Cândido Moreira, Heraldo Simões Ferreira</v>
      </c>
      <c r="C131" s="24" t="str">
        <f>IFERROR(__xludf.DUMMYFUNCTION("""COMPUTED_VALUE"""),"Sobral")</f>
        <v>Sobral</v>
      </c>
      <c r="D131" s="24" t="str">
        <f>IFERROR(__xludf.DUMMYFUNCTION("""COMPUTED_VALUE"""),"Edições UVA")</f>
        <v>Edições UVA</v>
      </c>
      <c r="E131" s="25">
        <f>IFERROR(__xludf.DUMMYFUNCTION("""COMPUTED_VALUE"""),2018.0)</f>
        <v>2018</v>
      </c>
      <c r="F131" s="24" t="str">
        <f>IFERROR(__xludf.DUMMYFUNCTION("""COMPUTED_VALUE"""),"Saúde Coletiva, Promoção da Saúde, Ambientes; Educacionais")</f>
        <v>Saúde Coletiva, Promoção da Saúde, Ambientes; Educacionais</v>
      </c>
      <c r="G131" s="28" t="str">
        <f>IFERROR(__xludf.DUMMYFUNCTION("""COMPUTED_VALUE"""),"9788595390195")</f>
        <v>9788595390195</v>
      </c>
      <c r="H131" s="29" t="str">
        <f>IFERROR(__xludf.DUMMYFUNCTION("""COMPUTED_VALUE"""),"http://www.uvanet.br/edicoes_uva/gera_xml.php?arquivo=promocao_saude_embientes")</f>
        <v>http://www.uvanet.br/edicoes_uva/gera_xml.php?arquivo=promocao_saude_embientes</v>
      </c>
      <c r="I131" s="24" t="str">
        <f>IFERROR(__xludf.DUMMYFUNCTION("""COMPUTED_VALUE"""),"Ciências da Saúde")</f>
        <v>Ciências da Saúde</v>
      </c>
    </row>
    <row r="132">
      <c r="A132" s="24" t="str">
        <f>IFERROR(__xludf.DUMMYFUNCTION("""COMPUTED_VALUE"""),"Promoção da saúde no contexto fronteiriço")</f>
        <v>Promoção da saúde no contexto fronteiriço</v>
      </c>
      <c r="B132" s="24" t="str">
        <f>IFERROR(__xludf.DUMMYFUNCTION("""COMPUTED_VALUE"""),"Lise Maria Carvalho Mendes (org.); ")</f>
        <v>Lise Maria Carvalho Mendes (org.); </v>
      </c>
      <c r="C132" s="24" t="str">
        <f>IFERROR(__xludf.DUMMYFUNCTION("""COMPUTED_VALUE"""),"Macapá")</f>
        <v>Macapá</v>
      </c>
      <c r="D132" s="24" t="str">
        <f>IFERROR(__xludf.DUMMYFUNCTION("""COMPUTED_VALUE"""),"UNIFAP")</f>
        <v>UNIFAP</v>
      </c>
      <c r="E132" s="25">
        <f>IFERROR(__xludf.DUMMYFUNCTION("""COMPUTED_VALUE"""),2018.0)</f>
        <v>2018</v>
      </c>
      <c r="F132" s="24" t="str">
        <f>IFERROR(__xludf.DUMMYFUNCTION("""COMPUTED_VALUE"""),"Saúde pública; Fronteira; Violência")</f>
        <v>Saúde pública; Fronteira; Violência</v>
      </c>
      <c r="G132" s="28" t="str">
        <f>IFERROR(__xludf.DUMMYFUNCTION("""COMPUTED_VALUE"""),"9788554760595")</f>
        <v>9788554760595</v>
      </c>
      <c r="H132" s="29" t="str">
        <f>IFERROR(__xludf.DUMMYFUNCTION("""COMPUTED_VALUE"""),"https://www2.unifap.br/editora/files/2019/02/Promocao-da-saude-no-contexto-fronteirico.pdf")</f>
        <v>https://www2.unifap.br/editora/files/2019/02/Promocao-da-saude-no-contexto-fronteirico.pdf</v>
      </c>
      <c r="I132" s="24" t="str">
        <f>IFERROR(__xludf.DUMMYFUNCTION("""COMPUTED_VALUE"""),"Ciências da Saúde")</f>
        <v>Ciências da Saúde</v>
      </c>
    </row>
    <row r="133">
      <c r="A133" s="24" t="str">
        <f>IFERROR(__xludf.DUMMYFUNCTION("""COMPUTED_VALUE"""),"Protocolo de tratamento pré-hospitalar COVID-19 ")</f>
        <v>Protocolo de tratamento pré-hospitalar COVID-19 </v>
      </c>
      <c r="B133" s="24" t="str">
        <f>IFERROR(__xludf.DUMMYFUNCTION("""COMPUTED_VALUE"""),"Sabas Carlos Vieira (org.)")</f>
        <v>Sabas Carlos Vieira (org.)</v>
      </c>
      <c r="C133" s="24" t="str">
        <f>IFERROR(__xludf.DUMMYFUNCTION("""COMPUTED_VALUE"""),"Teresina")</f>
        <v>Teresina</v>
      </c>
      <c r="D133" s="24" t="str">
        <f>IFERROR(__xludf.DUMMYFUNCTION("""COMPUTED_VALUE"""),"Editora da UFPI")</f>
        <v>Editora da UFPI</v>
      </c>
      <c r="E133" s="25">
        <f>IFERROR(__xludf.DUMMYFUNCTION("""COMPUTED_VALUE"""),2020.0)</f>
        <v>2020</v>
      </c>
      <c r="F133" s="24" t="str">
        <f>IFERROR(__xludf.DUMMYFUNCTION("""COMPUTED_VALUE"""),"Cloroquina; Corticosteroide; COVID 19; Hidroxicloroquina; SARS-COV2")</f>
        <v>Cloroquina; Corticosteroide; COVID 19; Hidroxicloroquina; SARS-COV2</v>
      </c>
      <c r="G133" s="28" t="str">
        <f>IFERROR(__xludf.DUMMYFUNCTION("""COMPUTED_VALUE"""),"9786586171310")</f>
        <v>9786586171310</v>
      </c>
      <c r="H133" s="29" t="str">
        <f>IFERROR(__xludf.DUMMYFUNCTION("""COMPUTED_VALUE"""),"https://www.ufpi.br/arquivos_download/arquivos/OFICIAL_PROTOCOLO_Pre_Hospitalar_MEDICOS_PELA_VIDA_COM_FICHA_UFPI20200710150010.pdf")</f>
        <v>https://www.ufpi.br/arquivos_download/arquivos/OFICIAL_PROTOCOLO_Pre_Hospitalar_MEDICOS_PELA_VIDA_COM_FICHA_UFPI20200710150010.pdf</v>
      </c>
      <c r="I133" s="24" t="str">
        <f>IFERROR(__xludf.DUMMYFUNCTION("""COMPUTED_VALUE"""),"Ciências da Saúde")</f>
        <v>Ciências da Saúde</v>
      </c>
    </row>
    <row r="134">
      <c r="A134" s="24" t="str">
        <f>IFERROR(__xludf.DUMMYFUNCTION("""COMPUTED_VALUE"""),"Protocolo de utilização de medicamentos injetáveis do HURCG")</f>
        <v>Protocolo de utilização de medicamentos injetáveis do HURCG</v>
      </c>
      <c r="B134" s="24" t="str">
        <f>IFERROR(__xludf.DUMMYFUNCTION("""COMPUTED_VALUE"""),"Carolina Justus Buhres Ferrira Neto.")</f>
        <v>Carolina Justus Buhres Ferrira Neto.</v>
      </c>
      <c r="C134" s="24" t="str">
        <f>IFERROR(__xludf.DUMMYFUNCTION("""COMPUTED_VALUE"""),"Ponta Grossa")</f>
        <v>Ponta Grossa</v>
      </c>
      <c r="D134" s="24" t="str">
        <f>IFERROR(__xludf.DUMMYFUNCTION("""COMPUTED_VALUE"""),"Editora UEPG")</f>
        <v>Editora UEPG</v>
      </c>
      <c r="E134" s="25">
        <f>IFERROR(__xludf.DUMMYFUNCTION("""COMPUTED_VALUE"""),2019.0)</f>
        <v>2019</v>
      </c>
      <c r="F134" s="24" t="str">
        <f>IFERROR(__xludf.DUMMYFUNCTION("""COMPUTED_VALUE"""),"A segurança do paciente é uma prioridade no Hospital Universitário Regional dos Campos Gerais. Nossas atividades orbitam o paciente. Por ele, lutamos em prol da qualidade dos serviços, de modo a proporcionar o melhor atendimento em saúde. Sob essa perspec"&amp;"tiva e diante das necessidades das equipes do nosso Hospital, elaboramos este Protocolo, que disponibiliza informações indispensáveis e atualizadas sobre a utilização de medicamentos injetáveis")</f>
        <v>A segurança do paciente é uma prioridade no Hospital Universitário Regional dos Campos Gerais. Nossas atividades orbitam o paciente. Por ele, lutamos em prol da qualidade dos serviços, de modo a proporcionar o melhor atendimento em saúde. Sob essa perspectiva e diante das necessidades das equipes do nosso Hospital, elaboramos este Protocolo, que disponibiliza informações indispensáveis e atualizadas sobre a utilização de medicamentos injetáveis</v>
      </c>
      <c r="G134" s="28" t="str">
        <f>IFERROR(__xludf.DUMMYFUNCTION("""COMPUTED_VALUE"""),"9788577982555")</f>
        <v>9788577982555</v>
      </c>
      <c r="H134" s="29" t="str">
        <f>IFERROR(__xludf.DUMMYFUNCTION("""COMPUTED_VALUE"""),"https://portal-archipelagus.azurewebsites.net/farol/eduepg/ebook/protocolo-de-utilizacao-de-medicamentos-injetaveis-do-hurcg/1205258/")</f>
        <v>https://portal-archipelagus.azurewebsites.net/farol/eduepg/ebook/protocolo-de-utilizacao-de-medicamentos-injetaveis-do-hurcg/1205258/</v>
      </c>
      <c r="I134" s="24" t="str">
        <f>IFERROR(__xludf.DUMMYFUNCTION("""COMPUTED_VALUE"""),"Ciências da Saúde")</f>
        <v>Ciências da Saúde</v>
      </c>
    </row>
    <row r="135">
      <c r="A135" s="24" t="str">
        <f>IFERROR(__xludf.DUMMYFUNCTION("""COMPUTED_VALUE"""),"Protocolo para atendimento da COVID-19 na atenção primária e hospitalar")</f>
        <v>Protocolo para atendimento da COVID-19 na atenção primária e hospitalar</v>
      </c>
      <c r="B135" s="24" t="str">
        <f>IFERROR(__xludf.DUMMYFUNCTION("""COMPUTED_VALUE"""),"Tauany Izabel Santos Freitas (org.)")</f>
        <v>Tauany Izabel Santos Freitas (org.)</v>
      </c>
      <c r="C135" s="24" t="str">
        <f>IFERROR(__xludf.DUMMYFUNCTION("""COMPUTED_VALUE"""),"Teresina")</f>
        <v>Teresina</v>
      </c>
      <c r="D135" s="24" t="str">
        <f>IFERROR(__xludf.DUMMYFUNCTION("""COMPUTED_VALUE"""),"Editora da UFPI")</f>
        <v>Editora da UFPI</v>
      </c>
      <c r="E135" s="25">
        <f>IFERROR(__xludf.DUMMYFUNCTION("""COMPUTED_VALUE"""),2020.0)</f>
        <v>2020</v>
      </c>
      <c r="F135" s="24" t="str">
        <f>IFERROR(__xludf.DUMMYFUNCTION("""COMPUTED_VALUE"""),"COVID-19; Sars-Cov; Tratamento Precoce; Hidroxicloroquina; Azitromicina")</f>
        <v>COVID-19; Sars-Cov; Tratamento Precoce; Hidroxicloroquina; Azitromicina</v>
      </c>
      <c r="G135" s="28" t="str">
        <f>IFERROR(__xludf.DUMMYFUNCTION("""COMPUTED_VALUE"""),"9786586171372")</f>
        <v>9786586171372</v>
      </c>
      <c r="H135" s="29" t="str">
        <f>IFERROR(__xludf.DUMMYFUNCTION("""COMPUTED_VALUE"""),"https://www.ufpi.br/arquivos_download/arquivos/PROTOCOLO_PARA_ATENDIMENTO_DA_COVID_Diagramado_paginado_justificadoNovo_PDF20200706211125.pdf")</f>
        <v>https://www.ufpi.br/arquivos_download/arquivos/PROTOCOLO_PARA_ATENDIMENTO_DA_COVID_Diagramado_paginado_justificadoNovo_PDF20200706211125.pdf</v>
      </c>
      <c r="I135" s="24" t="str">
        <f>IFERROR(__xludf.DUMMYFUNCTION("""COMPUTED_VALUE"""),"Ciências da Saúde")</f>
        <v>Ciências da Saúde</v>
      </c>
    </row>
    <row r="136">
      <c r="A136" s="24" t="str">
        <f>IFERROR(__xludf.DUMMYFUNCTION("""COMPUTED_VALUE"""),"Psicologia do trabalho na saúde da família: investigação eintervenção. ")</f>
        <v>Psicologia do trabalho na saúde da família: investigação eintervenção. </v>
      </c>
      <c r="B136" s="24" t="str">
        <f>IFERROR(__xludf.DUMMYFUNCTION("""COMPUTED_VALUE"""),"Sandra Fogaça Rosa Ribeiro, Gabriela RieveresBorges de Andrade, Flavia Claudia Krapiec Jacob de Brito(org.)")</f>
        <v>Sandra Fogaça Rosa Ribeiro, Gabriela RieveresBorges de Andrade, Flavia Claudia Krapiec Jacob de Brito(org.)</v>
      </c>
      <c r="C136" s="24" t="str">
        <f>IFERROR(__xludf.DUMMYFUNCTION("""COMPUTED_VALUE"""),"Dourados, MS")</f>
        <v>Dourados, MS</v>
      </c>
      <c r="D136" s="24" t="str">
        <f>IFERROR(__xludf.DUMMYFUNCTION("""COMPUTED_VALUE"""),"Ed. da UFGD")</f>
        <v>Ed. da UFGD</v>
      </c>
      <c r="E136" s="25">
        <f>IFERROR(__xludf.DUMMYFUNCTION("""COMPUTED_VALUE"""),2017.0)</f>
        <v>2017</v>
      </c>
      <c r="F136" s="24" t="str">
        <f>IFERROR(__xludf.DUMMYFUNCTION("""COMPUTED_VALUE"""),"Psicologia; Saúde do trabalhador; Saúde da família")</f>
        <v>Psicologia; Saúde do trabalhador; Saúde da família</v>
      </c>
      <c r="G136" s="28" t="str">
        <f>IFERROR(__xludf.DUMMYFUNCTION("""COMPUTED_VALUE"""),"9788581471396")</f>
        <v>9788581471396</v>
      </c>
      <c r="H136" s="29" t="str">
        <f>IFERROR(__xludf.DUMMYFUNCTION("""COMPUTED_VALUE"""),"http://omp.ufgd.edu.br/omp/index.php/livrosabertos/catalog/view/175/171/451-1")</f>
        <v>http://omp.ufgd.edu.br/omp/index.php/livrosabertos/catalog/view/175/171/451-1</v>
      </c>
      <c r="I136" s="24" t="str">
        <f>IFERROR(__xludf.DUMMYFUNCTION("""COMPUTED_VALUE"""),"Ciências da Saúde")</f>
        <v>Ciências da Saúde</v>
      </c>
    </row>
    <row r="137">
      <c r="A137" s="24" t="str">
        <f>IFERROR(__xludf.DUMMYFUNCTION("""COMPUTED_VALUE"""),"Psicologia fenomenológica e saúde: teoria e pesquisa")</f>
        <v>Psicologia fenomenológica e saúde: teoria e pesquisa</v>
      </c>
      <c r="B137" s="24" t="str">
        <f>IFERROR(__xludf.DUMMYFUNCTION("""COMPUTED_VALUE"""),"Joelma Ana Gutiérrez Espíndula (org.)")</f>
        <v>Joelma Ana Gutiérrez Espíndula (org.)</v>
      </c>
      <c r="C137" s="24" t="str">
        <f>IFERROR(__xludf.DUMMYFUNCTION("""COMPUTED_VALUE"""),"Boa Vista ")</f>
        <v>Boa Vista </v>
      </c>
      <c r="D137" s="24" t="str">
        <f>IFERROR(__xludf.DUMMYFUNCTION("""COMPUTED_VALUE"""),"UFRR")</f>
        <v>UFRR</v>
      </c>
      <c r="E137" s="25">
        <f>IFERROR(__xludf.DUMMYFUNCTION("""COMPUTED_VALUE"""),2019.0)</f>
        <v>2019</v>
      </c>
      <c r="F137" s="24" t="str">
        <f>IFERROR(__xludf.DUMMYFUNCTION("""COMPUTED_VALUE"""),"Psicologia; Fenomenologia; Psicologia Fenomenológica; Saúde")</f>
        <v>Psicologia; Fenomenologia; Psicologia Fenomenológica; Saúde</v>
      </c>
      <c r="G137" s="28" t="str">
        <f>IFERROR(__xludf.DUMMYFUNCTION("""COMPUTED_VALUE"""),"9788582881996")</f>
        <v>9788582881996</v>
      </c>
      <c r="H137" s="29" t="str">
        <f>IFERROR(__xludf.DUMMYFUNCTION("""COMPUTED_VALUE"""),"http://ufrr.br/editora/index.php/editais?download=414")</f>
        <v>http://ufrr.br/editora/index.php/editais?download=414</v>
      </c>
      <c r="I137" s="24" t="str">
        <f>IFERROR(__xludf.DUMMYFUNCTION("""COMPUTED_VALUE"""),"Ciências da Saúde")</f>
        <v>Ciências da Saúde</v>
      </c>
    </row>
    <row r="138">
      <c r="A138" s="24" t="str">
        <f>IFERROR(__xludf.DUMMYFUNCTION("""COMPUTED_VALUE"""),"Radiologia: álbum de figurinhas colecionáveis legendado ")</f>
        <v>Radiologia: álbum de figurinhas colecionáveis legendado </v>
      </c>
      <c r="B138" s="24" t="str">
        <f>IFERROR(__xludf.DUMMYFUNCTION("""COMPUTED_VALUE"""),"Alexandre Ferreira da Silva et. al ")</f>
        <v>Alexandre Ferreira da Silva et. al </v>
      </c>
      <c r="C138" s="24" t="str">
        <f>IFERROR(__xludf.DUMMYFUNCTION("""COMPUTED_VALUE"""),"Belém")</f>
        <v>Belém</v>
      </c>
      <c r="D138" s="24" t="str">
        <f>IFERROR(__xludf.DUMMYFUNCTION("""COMPUTED_VALUE"""),"UEPA")</f>
        <v>UEPA</v>
      </c>
      <c r="E138" s="25">
        <f>IFERROR(__xludf.DUMMYFUNCTION("""COMPUTED_VALUE"""),2016.0)</f>
        <v>2016</v>
      </c>
      <c r="F138" s="24" t="str">
        <f>IFERROR(__xludf.DUMMYFUNCTION("""COMPUTED_VALUE"""),"Radiologia; Álbum de figurinha")</f>
        <v>Radiologia; Álbum de figurinha</v>
      </c>
      <c r="G138" s="28" t="str">
        <f>IFERROR(__xludf.DUMMYFUNCTION("""COMPUTED_VALUE"""),"9788584580149")</f>
        <v>9788584580149</v>
      </c>
      <c r="H138" s="29" t="str">
        <f>IFERROR(__xludf.DUMMYFUNCTION("""COMPUTED_VALUE"""),"https://paginas.uepa.br/eduepa/wp-content/uploads/2019/06/radiologialivro.pdf")</f>
        <v>https://paginas.uepa.br/eduepa/wp-content/uploads/2019/06/radiologialivro.pdf</v>
      </c>
      <c r="I138" s="24" t="str">
        <f>IFERROR(__xludf.DUMMYFUNCTION("""COMPUTED_VALUE"""),"Ciências da Saúde")</f>
        <v>Ciências da Saúde</v>
      </c>
    </row>
    <row r="139">
      <c r="A139" s="24" t="str">
        <f>IFERROR(__xludf.DUMMYFUNCTION("""COMPUTED_VALUE"""),"Reduzindo o estigma entre usuários de drogas: guia para profissionais e gestores")</f>
        <v>Reduzindo o estigma entre usuários de drogas: guia para profissionais e gestores</v>
      </c>
      <c r="B139" s="24" t="str">
        <f>IFERROR(__xludf.DUMMYFUNCTION("""COMPUTED_VALUE"""),"Telmo Mota Ronzani, Ana Regina Noto, Pollyanna Santos da Silveira")</f>
        <v>Telmo Mota Ronzani, Ana Regina Noto, Pollyanna Santos da Silveira</v>
      </c>
      <c r="C139" s="24" t="str">
        <f>IFERROR(__xludf.DUMMYFUNCTION("""COMPUTED_VALUE"""),"Juiz de Fora")</f>
        <v>Juiz de Fora</v>
      </c>
      <c r="D139" s="24" t="str">
        <f>IFERROR(__xludf.DUMMYFUNCTION("""COMPUTED_VALUE"""),"Editora UFJF")</f>
        <v>Editora UFJF</v>
      </c>
      <c r="E139" s="25">
        <f>IFERROR(__xludf.DUMMYFUNCTION("""COMPUTED_VALUE"""),2014.0)</f>
        <v>2014</v>
      </c>
      <c r="F139" s="24" t="str">
        <f>IFERROR(__xludf.DUMMYFUNCTION("""COMPUTED_VALUE"""),"Drogas ilícitas, Estigma")</f>
        <v>Drogas ilícitas, Estigma</v>
      </c>
      <c r="G139" s="28" t="str">
        <f>IFERROR(__xludf.DUMMYFUNCTION("""COMPUTED_VALUE"""),"9788576721970")</f>
        <v>9788576721970</v>
      </c>
      <c r="H139" s="29" t="str">
        <f>IFERROR(__xludf.DUMMYFUNCTION("""COMPUTED_VALUE"""),"http://www2.ufjf.br/editora/wp-content/uploads/sites/113/2018/02/reduzindo_o_estigma_entre_usuarios_de_drogas.pdf")</f>
        <v>http://www2.ufjf.br/editora/wp-content/uploads/sites/113/2018/02/reduzindo_o_estigma_entre_usuarios_de_drogas.pdf</v>
      </c>
      <c r="I139" s="24" t="str">
        <f>IFERROR(__xludf.DUMMYFUNCTION("""COMPUTED_VALUE"""),"Ciências da Saúde")</f>
        <v>Ciências da Saúde</v>
      </c>
    </row>
    <row r="140">
      <c r="A140" s="24" t="str">
        <f>IFERROR(__xludf.DUMMYFUNCTION("""COMPUTED_VALUE"""),"Reflexões em Nutrição e Saúde")</f>
        <v>Reflexões em Nutrição e Saúde</v>
      </c>
      <c r="B140" s="24" t="str">
        <f>IFERROR(__xludf.DUMMYFUNCTION("""COMPUTED_VALUE"""),"Ayana Florencio de Meneses, Helena Alves de Carvalho Sampaio, Clarice Maria Araújo Chagas Vergara")</f>
        <v>Ayana Florencio de Meneses, Helena Alves de Carvalho Sampaio, Clarice Maria Araújo Chagas Vergara</v>
      </c>
      <c r="C140" s="24" t="str">
        <f>IFERROR(__xludf.DUMMYFUNCTION("""COMPUTED_VALUE"""),"Sobral")</f>
        <v>Sobral</v>
      </c>
      <c r="D140" s="24" t="str">
        <f>IFERROR(__xludf.DUMMYFUNCTION("""COMPUTED_VALUE"""),"Edições UVA")</f>
        <v>Edições UVA</v>
      </c>
      <c r="E140" s="25">
        <f>IFERROR(__xludf.DUMMYFUNCTION("""COMPUTED_VALUE"""),2019.0)</f>
        <v>2019</v>
      </c>
      <c r="F140" s="24" t="str">
        <f>IFERROR(__xludf.DUMMYFUNCTION("""COMPUTED_VALUE"""),"Nutrição, Saúde, Reflexões - Nutrição, Saúde Nutrição")</f>
        <v>Nutrição, Saúde, Reflexões - Nutrição, Saúde Nutrição</v>
      </c>
      <c r="G140" s="28" t="str">
        <f>IFERROR(__xludf.DUMMYFUNCTION("""COMPUTED_VALUE"""),"9788595390447")</f>
        <v>9788595390447</v>
      </c>
      <c r="H140" s="29" t="str">
        <f>IFERROR(__xludf.DUMMYFUNCTION("""COMPUTED_VALUE"""),"http://www.uvanet.br/edicoes_uva/gera_xml.php?arquivo=reflexoes_em_nutricao_saude")</f>
        <v>http://www.uvanet.br/edicoes_uva/gera_xml.php?arquivo=reflexoes_em_nutricao_saude</v>
      </c>
      <c r="I140" s="24" t="str">
        <f>IFERROR(__xludf.DUMMYFUNCTION("""COMPUTED_VALUE"""),"Ciências da Saúde")</f>
        <v>Ciências da Saúde</v>
      </c>
    </row>
    <row r="141">
      <c r="A141" s="24" t="str">
        <f>IFERROR(__xludf.DUMMYFUNCTION("""COMPUTED_VALUE"""),"Regionalização e Gestão dos Serviços de Saúde")</f>
        <v>Regionalização e Gestão dos Serviços de Saúde</v>
      </c>
      <c r="B141" s="24" t="str">
        <f>IFERROR(__xludf.DUMMYFUNCTION("""COMPUTED_VALUE"""),"Eduardo Augusto Werneck Ribeiro. Rivaldo Mauro de Faria. José Roberto Machado. Umberto Catarino Pessoto. João Carlos de Oliveira")</f>
        <v>Eduardo Augusto Werneck Ribeiro. Rivaldo Mauro de Faria. José Roberto Machado. Umberto Catarino Pessoto. João Carlos de Oliveira</v>
      </c>
      <c r="C141" s="24" t="str">
        <f>IFERROR(__xludf.DUMMYFUNCTION("""COMPUTED_VALUE"""),"Blumenau")</f>
        <v>Blumenau</v>
      </c>
      <c r="D141" s="24" t="str">
        <f>IFERROR(__xludf.DUMMYFUNCTION("""COMPUTED_VALUE"""),"Instituto Federal Catarinense")</f>
        <v>Instituto Federal Catarinense</v>
      </c>
      <c r="E141" s="25">
        <f>IFERROR(__xludf.DUMMYFUNCTION("""COMPUTED_VALUE"""),2019.0)</f>
        <v>2019</v>
      </c>
      <c r="F141" s="24" t="str">
        <f>IFERROR(__xludf.DUMMYFUNCTION("""COMPUTED_VALUE"""),"Saúde pública. Sistema Único de Saúde")</f>
        <v>Saúde pública. Sistema Único de Saúde</v>
      </c>
      <c r="G141" s="28" t="str">
        <f>IFERROR(__xludf.DUMMYFUNCTION("""COMPUTED_VALUE"""),"9788556440402")</f>
        <v>9788556440402</v>
      </c>
      <c r="H141" s="29" t="str">
        <f>IFERROR(__xludf.DUMMYFUNCTION("""COMPUTED_VALUE"""),"https://editora.ifc.edu.br/2019/09/20/regionalizacao-e-gestao-dos-servicos-de-saude/")</f>
        <v>https://editora.ifc.edu.br/2019/09/20/regionalizacao-e-gestao-dos-servicos-de-saude/</v>
      </c>
      <c r="I141" s="24" t="str">
        <f>IFERROR(__xludf.DUMMYFUNCTION("""COMPUTED_VALUE"""),"Ciências da Saúde")</f>
        <v>Ciências da Saúde</v>
      </c>
    </row>
    <row r="142">
      <c r="A142" s="24" t="str">
        <f>IFERROR(__xludf.DUMMYFUNCTION("""COMPUTED_VALUE"""),"Residência em saúde mental: educando trabalhadores para a atenção psicossocial")</f>
        <v>Residência em saúde mental: educando trabalhadores para a atenção psicossocial</v>
      </c>
      <c r="B142" s="24" t="str">
        <f>IFERROR(__xludf.DUMMYFUNCTION("""COMPUTED_VALUE"""),"Maria Thereza Ávila Dantas Coelho, Mônica de Oliveira Nunes, Suely Maia Galvão Barreto, (org.)")</f>
        <v>Maria Thereza Ávila Dantas Coelho, Mônica de Oliveira Nunes, Suely Maia Galvão Barreto, (org.)</v>
      </c>
      <c r="C142" s="24" t="str">
        <f>IFERROR(__xludf.DUMMYFUNCTION("""COMPUTED_VALUE"""),"Salvador")</f>
        <v>Salvador</v>
      </c>
      <c r="D142" s="24" t="str">
        <f>IFERROR(__xludf.DUMMYFUNCTION("""COMPUTED_VALUE"""),"EDUFBA")</f>
        <v>EDUFBA</v>
      </c>
      <c r="E142" s="25">
        <f>IFERROR(__xludf.DUMMYFUNCTION("""COMPUTED_VALUE"""),2017.0)</f>
        <v>2017</v>
      </c>
      <c r="F142" s="24" t="str">
        <f>IFERROR(__xludf.DUMMYFUNCTION("""COMPUTED_VALUE"""),"Saúde mental; Centro de Atenção Psicossocial; Pacientes; Equipes de assistência em saúde mental")</f>
        <v>Saúde mental; Centro de Atenção Psicossocial; Pacientes; Equipes de assistência em saúde mental</v>
      </c>
      <c r="G142" s="28" t="str">
        <f>IFERROR(__xludf.DUMMYFUNCTION("""COMPUTED_VALUE"""),"9788523215798")</f>
        <v>9788523215798</v>
      </c>
      <c r="H142" s="29" t="str">
        <f>IFERROR(__xludf.DUMMYFUNCTION("""COMPUTED_VALUE"""),"http://repositorio.ufba.br/ri/handle/ri/21612")</f>
        <v>http://repositorio.ufba.br/ri/handle/ri/21612</v>
      </c>
      <c r="I142" s="24" t="str">
        <f>IFERROR(__xludf.DUMMYFUNCTION("""COMPUTED_VALUE"""),"Ciências da Saúde")</f>
        <v>Ciências da Saúde</v>
      </c>
    </row>
    <row r="143">
      <c r="A143" s="24" t="str">
        <f>IFERROR(__xludf.DUMMYFUNCTION("""COMPUTED_VALUE"""),"Resíduos de serviços de saúde &amp; saúde pública Conceito, regulamentação, tratamento prévio")</f>
        <v>Resíduos de serviços de saúde &amp; saúde pública Conceito, regulamentação, tratamento prévio</v>
      </c>
      <c r="B143" s="24" t="str">
        <f>IFERROR(__xludf.DUMMYFUNCTION("""COMPUTED_VALUE"""),"Aída Cristina do Nascimento Silva (org.)")</f>
        <v>Aída Cristina do Nascimento Silva (org.)</v>
      </c>
      <c r="C143" s="24" t="str">
        <f>IFERROR(__xludf.DUMMYFUNCTION("""COMPUTED_VALUE"""),"Salvador")</f>
        <v>Salvador</v>
      </c>
      <c r="D143" s="24" t="str">
        <f>IFERROR(__xludf.DUMMYFUNCTION("""COMPUTED_VALUE"""),"EDUFBA")</f>
        <v>EDUFBA</v>
      </c>
      <c r="E143" s="25">
        <f>IFERROR(__xludf.DUMMYFUNCTION("""COMPUTED_VALUE"""),2014.0)</f>
        <v>2014</v>
      </c>
      <c r="F143" s="24" t="str">
        <f>IFERROR(__xludf.DUMMYFUNCTION("""COMPUTED_VALUE"""),"Biossegurança; Saúde pública; Serviço de saúde")</f>
        <v>Biossegurança; Saúde pública; Serviço de saúde</v>
      </c>
      <c r="G143" s="28" t="str">
        <f>IFERROR(__xludf.DUMMYFUNCTION("""COMPUTED_VALUE"""),"9788523213282")</f>
        <v>9788523213282</v>
      </c>
      <c r="H143" s="29" t="str">
        <f>IFERROR(__xludf.DUMMYFUNCTION("""COMPUTED_VALUE"""),"http://repositorio.ufba.br/ri/handle/ri/17157")</f>
        <v>http://repositorio.ufba.br/ri/handle/ri/17157</v>
      </c>
      <c r="I143" s="24" t="str">
        <f>IFERROR(__xludf.DUMMYFUNCTION("""COMPUTED_VALUE"""),"Ciências da Saúde")</f>
        <v>Ciências da Saúde</v>
      </c>
    </row>
    <row r="144">
      <c r="A144" s="24" t="str">
        <f>IFERROR(__xludf.DUMMYFUNCTION("""COMPUTED_VALUE"""),"Responsabilidade civil das academias de ginástica por atos do personal trainer")</f>
        <v>Responsabilidade civil das academias de ginástica por atos do personal trainer</v>
      </c>
      <c r="B144" s="24" t="str">
        <f>IFERROR(__xludf.DUMMYFUNCTION("""COMPUTED_VALUE"""),"Felipe Crisanto M. Nóbrega")</f>
        <v>Felipe Crisanto M. Nóbrega</v>
      </c>
      <c r="C144" s="24" t="str">
        <f>IFERROR(__xludf.DUMMYFUNCTION("""COMPUTED_VALUE"""),"Campina Grande")</f>
        <v>Campina Grande</v>
      </c>
      <c r="D144" s="24" t="str">
        <f>IFERROR(__xludf.DUMMYFUNCTION("""COMPUTED_VALUE"""),"EDUEPB")</f>
        <v>EDUEPB</v>
      </c>
      <c r="E144" s="25">
        <f>IFERROR(__xludf.DUMMYFUNCTION("""COMPUTED_VALUE"""),2017.0)</f>
        <v>2017</v>
      </c>
      <c r="F144" s="24" t="str">
        <f>IFERROR(__xludf.DUMMYFUNCTION("""COMPUTED_VALUE"""),"Educação física. Treinamento desportivo. Ginastica. Personal trainer. Ética profissional. Academias de ginastica")</f>
        <v>Educação física. Treinamento desportivo. Ginastica. Personal trainer. Ética profissional. Academias de ginastica</v>
      </c>
      <c r="G144" s="28" t="str">
        <f>IFERROR(__xludf.DUMMYFUNCTION("""COMPUTED_VALUE"""),"9788578794692")</f>
        <v>9788578794692</v>
      </c>
      <c r="H144" s="29" t="str">
        <f>IFERROR(__xludf.DUMMYFUNCTION("""COMPUTED_VALUE"""),"http://eduepb.uepb.edu.br/download/responsabilidade-civil-das-academias-de-ginastica-por-atos-do-personal-trainer/?wpdmdl=437&amp;amp;masterkey=5b59e8c433c04")</f>
        <v>http://eduepb.uepb.edu.br/download/responsabilidade-civil-das-academias-de-ginastica-por-atos-do-personal-trainer/?wpdmdl=437&amp;amp;masterkey=5b59e8c433c04</v>
      </c>
      <c r="I144" s="24" t="str">
        <f>IFERROR(__xludf.DUMMYFUNCTION("""COMPUTED_VALUE"""),"Ciências da Saúde")</f>
        <v>Ciências da Saúde</v>
      </c>
    </row>
    <row r="145">
      <c r="A145" s="24" t="str">
        <f>IFERROR(__xludf.DUMMYFUNCTION("""COMPUTED_VALUE"""),"Salud, Cuerpo y Sociedad")</f>
        <v>Salud, Cuerpo y Sociedad</v>
      </c>
      <c r="B145" s="24" t="str">
        <f>IFERROR(__xludf.DUMMYFUNCTION("""COMPUTED_VALUE"""),"Marcos Bagrichevsky")</f>
        <v>Marcos Bagrichevsky</v>
      </c>
      <c r="C145" s="24" t="str">
        <f>IFERROR(__xludf.DUMMYFUNCTION("""COMPUTED_VALUE"""),"Blumenau")</f>
        <v>Blumenau</v>
      </c>
      <c r="D145" s="24" t="str">
        <f>IFERROR(__xludf.DUMMYFUNCTION("""COMPUTED_VALUE"""),"Instituto Federal Catarinense")</f>
        <v>Instituto Federal Catarinense</v>
      </c>
      <c r="E145" s="25">
        <f>IFERROR(__xludf.DUMMYFUNCTION("""COMPUTED_VALUE"""),2019.0)</f>
        <v>2019</v>
      </c>
      <c r="F145" s="24" t="str">
        <f>IFERROR(__xludf.DUMMYFUNCTION("""COMPUTED_VALUE"""),"Saúde. Corpo. Risco. Atividade física")</f>
        <v>Saúde. Corpo. Risco. Atividade física</v>
      </c>
      <c r="G145" s="28" t="str">
        <f>IFERROR(__xludf.DUMMYFUNCTION("""COMPUTED_VALUE"""),"9788556440495")</f>
        <v>9788556440495</v>
      </c>
      <c r="H145" s="29" t="str">
        <f>IFERROR(__xludf.DUMMYFUNCTION("""COMPUTED_VALUE"""),"https://editora.ifc.edu.br/2019/12/13/salud-cuerpo-y-sociedad/")</f>
        <v>https://editora.ifc.edu.br/2019/12/13/salud-cuerpo-y-sociedad/</v>
      </c>
      <c r="I145" s="24" t="str">
        <f>IFERROR(__xludf.DUMMYFUNCTION("""COMPUTED_VALUE"""),"Ciências da Saúde")</f>
        <v>Ciências da Saúde</v>
      </c>
    </row>
    <row r="146">
      <c r="A146" s="24" t="str">
        <f>IFERROR(__xludf.DUMMYFUNCTION("""COMPUTED_VALUE"""),"Saúde coletiva, desenvolvimento e (in)sustentabilidades no rural")</f>
        <v>Saúde coletiva, desenvolvimento e (in)sustentabilidades no rural</v>
      </c>
      <c r="B146" s="24" t="str">
        <f>IFERROR(__xludf.DUMMYFUNCTION("""COMPUTED_VALUE"""),"Mesquita, Marilise Oliveira; Riquinho, Deise Lisboa; Gerhardt, Tatiana Engel; Ruiz, Eliziane Nicolodi Francescato ")</f>
        <v>Mesquita, Marilise Oliveira; Riquinho, Deise Lisboa; Gerhardt, Tatiana Engel; Ruiz, Eliziane Nicolodi Francescato </v>
      </c>
      <c r="C146" s="24" t="str">
        <f>IFERROR(__xludf.DUMMYFUNCTION("""COMPUTED_VALUE"""),"Porto Alegre")</f>
        <v>Porto Alegre</v>
      </c>
      <c r="D146" s="24" t="str">
        <f>IFERROR(__xludf.DUMMYFUNCTION("""COMPUTED_VALUE"""),"UFRGS")</f>
        <v>UFRGS</v>
      </c>
      <c r="E146" s="25">
        <f>IFERROR(__xludf.DUMMYFUNCTION("""COMPUTED_VALUE"""),2018.0)</f>
        <v>2018</v>
      </c>
      <c r="F146" s="24" t="str">
        <f>IFERROR(__xludf.DUMMYFUNCTION("""COMPUTED_VALUE"""),"Agroquímicos; Desenvolvimento rural; População rural; Saúde coletiva; Saúde da população rural; Segurança alimentar; Sustentabilidade")</f>
        <v>Agroquímicos; Desenvolvimento rural; População rural; Saúde coletiva; Saúde da população rural; Segurança alimentar; Sustentabilidade</v>
      </c>
      <c r="G146" s="28" t="str">
        <f>IFERROR(__xludf.DUMMYFUNCTION("""COMPUTED_VALUE"""),"9788538604358")</f>
        <v>9788538604358</v>
      </c>
      <c r="H146" s="29" t="str">
        <f>IFERROR(__xludf.DUMMYFUNCTION("""COMPUTED_VALUE"""),"http://hdl.handle.net/10183/183081")</f>
        <v>http://hdl.handle.net/10183/183081</v>
      </c>
      <c r="I146" s="24" t="str">
        <f>IFERROR(__xludf.DUMMYFUNCTION("""COMPUTED_VALUE"""),"Ciências da Saúde")</f>
        <v>Ciências da Saúde</v>
      </c>
    </row>
    <row r="147">
      <c r="A147" s="24" t="str">
        <f>IFERROR(__xludf.DUMMYFUNCTION("""COMPUTED_VALUE"""),"Saúde coletiva: coletâneas")</f>
        <v>Saúde coletiva: coletâneas</v>
      </c>
      <c r="B147" s="24" t="str">
        <f>IFERROR(__xludf.DUMMYFUNCTION("""COMPUTED_VALUE"""),"Rita de Cássia Duarte Lima, Elizabete Regina Araújo de Oliveira, Maria del Carmen Bisi Molina, (org.)")</f>
        <v>Rita de Cássia Duarte Lima, Elizabete Regina Araújo de Oliveira, Maria del Carmen Bisi Molina, (org.)</v>
      </c>
      <c r="C147" s="24" t="str">
        <f>IFERROR(__xludf.DUMMYFUNCTION("""COMPUTED_VALUE"""),"Vitória")</f>
        <v>Vitória</v>
      </c>
      <c r="D147" s="24" t="str">
        <f>IFERROR(__xludf.DUMMYFUNCTION("""COMPUTED_VALUE"""),"EDUFES")</f>
        <v>EDUFES</v>
      </c>
      <c r="E147" s="25">
        <f>IFERROR(__xludf.DUMMYFUNCTION("""COMPUTED_VALUE"""),2014.0)</f>
        <v>2014</v>
      </c>
      <c r="F147" s="24" t="str">
        <f>IFERROR(__xludf.DUMMYFUNCTION("""COMPUTED_VALUE"""),"Saúde pública; Coletânea; Saúde")</f>
        <v>Saúde pública; Coletânea; Saúde</v>
      </c>
      <c r="G147" s="28" t="str">
        <f>IFERROR(__xludf.DUMMYFUNCTION("""COMPUTED_VALUE"""),"9788577721931")</f>
        <v>9788577721931</v>
      </c>
      <c r="H147" s="29" t="str">
        <f>IFERROR(__xludf.DUMMYFUNCTION("""COMPUTED_VALUE"""),"http://repositorio.ufes.br/handle/10/855")</f>
        <v>http://repositorio.ufes.br/handle/10/855</v>
      </c>
      <c r="I147" s="24" t="str">
        <f>IFERROR(__xludf.DUMMYFUNCTION("""COMPUTED_VALUE"""),"Ciências da Saúde")</f>
        <v>Ciências da Saúde</v>
      </c>
    </row>
    <row r="148">
      <c r="A148" s="24" t="str">
        <f>IFERROR(__xludf.DUMMYFUNCTION("""COMPUTED_VALUE"""),"Saúde coletiva: dialogando sobre interfaces temáticas")</f>
        <v>Saúde coletiva: dialogando sobre interfaces temáticas</v>
      </c>
      <c r="B148" s="24" t="str">
        <f>IFERROR(__xludf.DUMMYFUNCTION("""COMPUTED_VALUE"""),"Marcos Bagrichevsky, Adriana Estevão (org.)")</f>
        <v>Marcos Bagrichevsky, Adriana Estevão (org.)</v>
      </c>
      <c r="C148" s="24" t="str">
        <f>IFERROR(__xludf.DUMMYFUNCTION("""COMPUTED_VALUE"""),"Ilhéus, BA")</f>
        <v>Ilhéus, BA</v>
      </c>
      <c r="D148" s="24" t="str">
        <f>IFERROR(__xludf.DUMMYFUNCTION("""COMPUTED_VALUE"""),"Editus")</f>
        <v>Editus</v>
      </c>
      <c r="E148" s="25">
        <f>IFERROR(__xludf.DUMMYFUNCTION("""COMPUTED_VALUE"""),2015.0)</f>
        <v>2015</v>
      </c>
      <c r="F148" s="24" t="str">
        <f>IFERROR(__xludf.DUMMYFUNCTION("""COMPUTED_VALUE"""),"Saúde Coletiva; Promoção da saúde; Corpo; Epidemiologia")</f>
        <v>Saúde Coletiva; Promoção da saúde; Corpo; Epidemiologia</v>
      </c>
      <c r="G148" s="28" t="str">
        <f>IFERROR(__xludf.DUMMYFUNCTION("""COMPUTED_VALUE"""),"9788574553498")</f>
        <v>9788574553498</v>
      </c>
      <c r="H148" s="29" t="str">
        <f>IFERROR(__xludf.DUMMYFUNCTION("""COMPUTED_VALUE"""),"http://www.uesc.br/editora/livrosdigitais2015/saude_coletiva.pdf")</f>
        <v>http://www.uesc.br/editora/livrosdigitais2015/saude_coletiva.pdf</v>
      </c>
      <c r="I148" s="24" t="str">
        <f>IFERROR(__xludf.DUMMYFUNCTION("""COMPUTED_VALUE"""),"Ciências da Saúde")</f>
        <v>Ciências da Saúde</v>
      </c>
    </row>
    <row r="149">
      <c r="A149" s="24" t="str">
        <f>IFERROR(__xludf.DUMMYFUNCTION("""COMPUTED_VALUE"""),"Saúde Coletiva: Dialogando Sobre Interfaces Temáticas")</f>
        <v>Saúde Coletiva: Dialogando Sobre Interfaces Temáticas</v>
      </c>
      <c r="B149" s="24" t="str">
        <f>IFERROR(__xludf.DUMMYFUNCTION("""COMPUTED_VALUE"""),"Marcos Bagrichevsky")</f>
        <v>Marcos Bagrichevsky</v>
      </c>
      <c r="C149" s="24" t="str">
        <f>IFERROR(__xludf.DUMMYFUNCTION("""COMPUTED_VALUE"""),"Blumenau")</f>
        <v>Blumenau</v>
      </c>
      <c r="D149" s="24" t="str">
        <f>IFERROR(__xludf.DUMMYFUNCTION("""COMPUTED_VALUE"""),"Instituto Federal Catarinense")</f>
        <v>Instituto Federal Catarinense</v>
      </c>
      <c r="E149" s="25">
        <f>IFERROR(__xludf.DUMMYFUNCTION("""COMPUTED_VALUE"""),2019.0)</f>
        <v>2019</v>
      </c>
      <c r="F149" s="24" t="str">
        <f>IFERROR(__xludf.DUMMYFUNCTION("""COMPUTED_VALUE"""),"Saúde coletiva. Promoção da saúde. Corpo. Epidemiologia")</f>
        <v>Saúde coletiva. Promoção da saúde. Corpo. Epidemiologia</v>
      </c>
      <c r="G149" s="28" t="str">
        <f>IFERROR(__xludf.DUMMYFUNCTION("""COMPUTED_VALUE"""),"9788556440464")</f>
        <v>9788556440464</v>
      </c>
      <c r="H149" s="29" t="str">
        <f>IFERROR(__xludf.DUMMYFUNCTION("""COMPUTED_VALUE"""),"https://editora.ifc.edu.br/2019/11/25/saude-coletiva-dialogando-sobre-interfaces-tematicas/")</f>
        <v>https://editora.ifc.edu.br/2019/11/25/saude-coletiva-dialogando-sobre-interfaces-tematicas/</v>
      </c>
      <c r="I149" s="24" t="str">
        <f>IFERROR(__xludf.DUMMYFUNCTION("""COMPUTED_VALUE"""),"Ciências da Saúde")</f>
        <v>Ciências da Saúde</v>
      </c>
    </row>
    <row r="150">
      <c r="A150" s="24" t="str">
        <f>IFERROR(__xludf.DUMMYFUNCTION("""COMPUTED_VALUE"""),"Saúde e Espaço Social: A Multirreferencialidade na Produção de Conhecimento")</f>
        <v>Saúde e Espaço Social: A Multirreferencialidade na Produção de Conhecimento</v>
      </c>
      <c r="B150" s="24" t="str">
        <f>IFERROR(__xludf.DUMMYFUNCTION("""COMPUTED_VALUE"""),"Eliany Nazaré Oliveira, Maristela Inês Osawa Vasconcelos, Francisco Rosemiro Guimarães Ximenes Neto,; Maria Amélia Carneiro Bezerra, Maria Socorro de Araújo Dias, Simone Ferreira Diniz, Claudia de Castro Goulart,; Rosangela Duarte Pimenta, Marcio Gomes da"&amp;" Silva")</f>
        <v>Eliany Nazaré Oliveira, Maristela Inês Osawa Vasconcelos, Francisco Rosemiro Guimarães Ximenes Neto,; Maria Amélia Carneiro Bezerra, Maria Socorro de Araújo Dias, Simone Ferreira Diniz, Claudia de Castro Goulart,; Rosangela Duarte Pimenta, Marcio Gomes da Silva</v>
      </c>
      <c r="C150" s="24" t="str">
        <f>IFERROR(__xludf.DUMMYFUNCTION("""COMPUTED_VALUE"""),"Sobral")</f>
        <v>Sobral</v>
      </c>
      <c r="D150" s="24" t="str">
        <f>IFERROR(__xludf.DUMMYFUNCTION("""COMPUTED_VALUE"""),"Edições UVA")</f>
        <v>Edições UVA</v>
      </c>
      <c r="E150" s="25">
        <f>IFERROR(__xludf.DUMMYFUNCTION("""COMPUTED_VALUE"""),2019.0)</f>
        <v>2019</v>
      </c>
      <c r="F150" s="24" t="str">
        <f>IFERROR(__xludf.DUMMYFUNCTION("""COMPUTED_VALUE"""),"Saúde, Cuidado, Território, Interprofissionalidade, Prática social")</f>
        <v>Saúde, Cuidado, Território, Interprofissionalidade, Prática social</v>
      </c>
      <c r="G150" s="28" t="str">
        <f>IFERROR(__xludf.DUMMYFUNCTION("""COMPUTED_VALUE"""),"9788595390454")</f>
        <v>9788595390454</v>
      </c>
      <c r="H150" s="29" t="str">
        <f>IFERROR(__xludf.DUMMYFUNCTION("""COMPUTED_VALUE"""),"http://www.uvanet.br/edicoes_uva/gera_xml.php?arquivo=saude_espaco_social_final")</f>
        <v>http://www.uvanet.br/edicoes_uva/gera_xml.php?arquivo=saude_espaco_social_final</v>
      </c>
      <c r="I150" s="24" t="str">
        <f>IFERROR(__xludf.DUMMYFUNCTION("""COMPUTED_VALUE"""),"Ciências da Saúde")</f>
        <v>Ciências da Saúde</v>
      </c>
    </row>
    <row r="151">
      <c r="A151" s="24" t="str">
        <f>IFERROR(__xludf.DUMMYFUNCTION("""COMPUTED_VALUE"""),"Saúde Mental de Idosos no contexto do COVID-19")</f>
        <v>Saúde Mental de Idosos no contexto do COVID-19</v>
      </c>
      <c r="B151" s="24" t="str">
        <f>IFERROR(__xludf.DUMMYFUNCTION("""COMPUTED_VALUE"""),"Silva, Josevânia da")</f>
        <v>Silva, Josevânia da</v>
      </c>
      <c r="C151" s="24" t="str">
        <f>IFERROR(__xludf.DUMMYFUNCTION("""COMPUTED_VALUE"""),"Campina Grande")</f>
        <v>Campina Grande</v>
      </c>
      <c r="D151" s="24" t="str">
        <f>IFERROR(__xludf.DUMMYFUNCTION("""COMPUTED_VALUE"""),"EDUEPB")</f>
        <v>EDUEPB</v>
      </c>
      <c r="E151" s="25">
        <f>IFERROR(__xludf.DUMMYFUNCTION("""COMPUTED_VALUE"""),2020.0)</f>
        <v>2020</v>
      </c>
      <c r="F151" s="24" t="str">
        <f>IFERROR(__xludf.DUMMYFUNCTION("""COMPUTED_VALUE"""),"Saúde mental; Idosos; Sofrimento; Coronavírus; COVID-19")</f>
        <v>Saúde mental; Idosos; Sofrimento; Coronavírus; COVID-19</v>
      </c>
      <c r="G151" s="26"/>
      <c r="H151" s="29" t="str">
        <f>IFERROR(__xludf.DUMMYFUNCTION("""COMPUTED_VALUE"""),"http://eduepb.uepb.edu.br/download/saude-mental-de-idosos/?wpdmdl=993&amp;#038;masterkey=5e97662058594")</f>
        <v>http://eduepb.uepb.edu.br/download/saude-mental-de-idosos/?wpdmdl=993&amp;#038;masterkey=5e97662058594</v>
      </c>
      <c r="I151" s="24" t="str">
        <f>IFERROR(__xludf.DUMMYFUNCTION("""COMPUTED_VALUE"""),"Ciências da Saúde")</f>
        <v>Ciências da Saúde</v>
      </c>
    </row>
    <row r="152">
      <c r="A152" s="24" t="str">
        <f>IFERROR(__xludf.DUMMYFUNCTION("""COMPUTED_VALUE"""),"Saúde mental: música, dança e o lúdico para abrir a cortina da memória e da alma")</f>
        <v>Saúde mental: música, dança e o lúdico para abrir a cortina da memória e da alma</v>
      </c>
      <c r="B152" s="24" t="str">
        <f>IFERROR(__xludf.DUMMYFUNCTION("""COMPUTED_VALUE"""),"Maria de Lourdes da Rocha Rosa e Ana Carla Peto")</f>
        <v>Maria de Lourdes da Rocha Rosa e Ana Carla Peto</v>
      </c>
      <c r="C152" s="24" t="str">
        <f>IFERROR(__xludf.DUMMYFUNCTION("""COMPUTED_VALUE"""),"Rio Branco")</f>
        <v>Rio Branco</v>
      </c>
      <c r="D152" s="24" t="str">
        <f>IFERROR(__xludf.DUMMYFUNCTION("""COMPUTED_VALUE"""),"Edufac")</f>
        <v>Edufac</v>
      </c>
      <c r="E152" s="25">
        <f>IFERROR(__xludf.DUMMYFUNCTION("""COMPUTED_VALUE"""),2018.0)</f>
        <v>2018</v>
      </c>
      <c r="F152" s="24" t="str">
        <f>IFERROR(__xludf.DUMMYFUNCTION("""COMPUTED_VALUE"""),"Saúde mental; Música e dança; Lúdico")</f>
        <v>Saúde mental; Música e dança; Lúdico</v>
      </c>
      <c r="G152" s="28" t="str">
        <f>IFERROR(__xludf.DUMMYFUNCTION("""COMPUTED_VALUE"""),"9788582360668")</f>
        <v>9788582360668</v>
      </c>
      <c r="H152" s="29" t="str">
        <f>IFERROR(__xludf.DUMMYFUNCTION("""COMPUTED_VALUE"""),"http://www2.ufac.br/editora/livros/saude-mental.pdf")</f>
        <v>http://www2.ufac.br/editora/livros/saude-mental.pdf</v>
      </c>
      <c r="I152" s="24" t="str">
        <f>IFERROR(__xludf.DUMMYFUNCTION("""COMPUTED_VALUE"""),"Ciências da Saúde")</f>
        <v>Ciências da Saúde</v>
      </c>
    </row>
    <row r="153">
      <c r="A153" s="24" t="str">
        <f>IFERROR(__xludf.DUMMYFUNCTION("""COMPUTED_VALUE"""),"Saúde Mental: Saberes e Fazeres")</f>
        <v>Saúde Mental: Saberes e Fazeres</v>
      </c>
      <c r="B153" s="24" t="str">
        <f>IFERROR(__xludf.DUMMYFUNCTION("""COMPUTED_VALUE"""),"Thelma Maria Grisi Velôso; Maria do Carmo Eulálio (org.)")</f>
        <v>Thelma Maria Grisi Velôso; Maria do Carmo Eulálio (org.)</v>
      </c>
      <c r="C153" s="24" t="str">
        <f>IFERROR(__xludf.DUMMYFUNCTION("""COMPUTED_VALUE"""),"Campina Grande")</f>
        <v>Campina Grande</v>
      </c>
      <c r="D153" s="24" t="str">
        <f>IFERROR(__xludf.DUMMYFUNCTION("""COMPUTED_VALUE"""),"EDUEPB")</f>
        <v>EDUEPB</v>
      </c>
      <c r="E153" s="25">
        <f>IFERROR(__xludf.DUMMYFUNCTION("""COMPUTED_VALUE"""),2016.0)</f>
        <v>2016</v>
      </c>
      <c r="F153" s="24" t="str">
        <f>IFERROR(__xludf.DUMMYFUNCTION("""COMPUTED_VALUE"""),"Saúde mental. Respeito - direitos humanos. Psicologia da saúde. contenção psiquiátrica. Loucura")</f>
        <v>Saúde mental. Respeito - direitos humanos. Psicologia da saúde. contenção psiquiátrica. Loucura</v>
      </c>
      <c r="G153" s="28" t="str">
        <f>IFERROR(__xludf.DUMMYFUNCTION("""COMPUTED_VALUE"""),"9788578793036")</f>
        <v>9788578793036</v>
      </c>
      <c r="H153" s="29" t="str">
        <f>IFERROR(__xludf.DUMMYFUNCTION("""COMPUTED_VALUE"""),"http://eduepb.uepb.edu.br/download/saude-mental-saberes-e-fazeres/?wpdmdl=209&amp;amp;masterkey=5af9a15168572")</f>
        <v>http://eduepb.uepb.edu.br/download/saude-mental-saberes-e-fazeres/?wpdmdl=209&amp;amp;masterkey=5af9a15168572</v>
      </c>
      <c r="I153" s="24" t="str">
        <f>IFERROR(__xludf.DUMMYFUNCTION("""COMPUTED_VALUE"""),"Ciências da Saúde")</f>
        <v>Ciências da Saúde</v>
      </c>
    </row>
    <row r="154">
      <c r="A154" s="24" t="str">
        <f>IFERROR(__xludf.DUMMYFUNCTION("""COMPUTED_VALUE"""),"Sociopolítica da saúde: desafios e oportunidades")</f>
        <v>Sociopolítica da saúde: desafios e oportunidades</v>
      </c>
      <c r="B154" s="24" t="str">
        <f>IFERROR(__xludf.DUMMYFUNCTION("""COMPUTED_VALUE"""),"Percy Antonio Galimbertti, Izabelle Mont’Alverne Napoleão Albuquerque")</f>
        <v>Percy Antonio Galimbertti, Izabelle Mont’Alverne Napoleão Albuquerque</v>
      </c>
      <c r="C154" s="24" t="str">
        <f>IFERROR(__xludf.DUMMYFUNCTION("""COMPUTED_VALUE"""),"Sobral")</f>
        <v>Sobral</v>
      </c>
      <c r="D154" s="24" t="str">
        <f>IFERROR(__xludf.DUMMYFUNCTION("""COMPUTED_VALUE"""),"Edições UVA")</f>
        <v>Edições UVA</v>
      </c>
      <c r="E154" s="25">
        <f>IFERROR(__xludf.DUMMYFUNCTION("""COMPUTED_VALUE"""),2018.0)</f>
        <v>2018</v>
      </c>
      <c r="F154" s="24" t="str">
        <f>IFERROR(__xludf.DUMMYFUNCTION("""COMPUTED_VALUE"""),"Saúde e sociedade, Políticas de saúde, Saúde coletiva, Sociopolítica")</f>
        <v>Saúde e sociedade, Políticas de saúde, Saúde coletiva, Sociopolítica</v>
      </c>
      <c r="G154" s="28" t="str">
        <f>IFERROR(__xludf.DUMMYFUNCTION("""COMPUTED_VALUE"""),"9788595390300")</f>
        <v>9788595390300</v>
      </c>
      <c r="H154" s="29" t="str">
        <f>IFERROR(__xludf.DUMMYFUNCTION("""COMPUTED_VALUE"""),"http://www.uvanet.br/edicoes_uva/gera_xml.php?arquivo=sociopolitica_saude")</f>
        <v>http://www.uvanet.br/edicoes_uva/gera_xml.php?arquivo=sociopolitica_saude</v>
      </c>
      <c r="I154" s="24" t="str">
        <f>IFERROR(__xludf.DUMMYFUNCTION("""COMPUTED_VALUE"""),"Ciências da Saúde")</f>
        <v>Ciências da Saúde</v>
      </c>
    </row>
    <row r="155">
      <c r="A155" s="24" t="str">
        <f>IFERROR(__xludf.DUMMYFUNCTION("""COMPUTED_VALUE"""),"Tangolomango - Ensalmos, Benzimentos e Parlendas nas Práticas de Cura e Folguedos Populares")</f>
        <v>Tangolomango - Ensalmos, Benzimentos e Parlendas nas Práticas de Cura e Folguedos Populares</v>
      </c>
      <c r="B155" s="24" t="str">
        <f>IFERROR(__xludf.DUMMYFUNCTION("""COMPUTED_VALUE"""),"Argus Vasconcelos de Almeida")</f>
        <v>Argus Vasconcelos de Almeida</v>
      </c>
      <c r="C155" s="24" t="str">
        <f>IFERROR(__xludf.DUMMYFUNCTION("""COMPUTED_VALUE"""),"Recife")</f>
        <v>Recife</v>
      </c>
      <c r="D155" s="24" t="str">
        <f>IFERROR(__xludf.DUMMYFUNCTION("""COMPUTED_VALUE"""),"Editora Universitária da UFRPE")</f>
        <v>Editora Universitária da UFRPE</v>
      </c>
      <c r="E155" s="25">
        <f>IFERROR(__xludf.DUMMYFUNCTION("""COMPUTED_VALUE"""),2012.0)</f>
        <v>2012</v>
      </c>
      <c r="F155" s="24" t="str">
        <f>IFERROR(__xludf.DUMMYFUNCTION("""COMPUTED_VALUE"""),"Práticas de cura; Medicina; Medicina popular")</f>
        <v>Práticas de cura; Medicina; Medicina popular</v>
      </c>
      <c r="G155" s="26"/>
      <c r="H155" s="29" t="str">
        <f>IFERROR(__xludf.DUMMYFUNCTION("""COMPUTED_VALUE"""),"https://www.dropbox.com/s/awjklubl1qzsssq/tangolomango.pdf?dl=0")</f>
        <v>https://www.dropbox.com/s/awjklubl1qzsssq/tangolomango.pdf?dl=0</v>
      </c>
      <c r="I155" s="24" t="str">
        <f>IFERROR(__xludf.DUMMYFUNCTION("""COMPUTED_VALUE"""),"Ciências da Saúde")</f>
        <v>Ciências da Saúde</v>
      </c>
    </row>
    <row r="156">
      <c r="A156" s="24" t="str">
        <f>IFERROR(__xludf.DUMMYFUNCTION("""COMPUTED_VALUE"""),"Tem Alguma Pessoa com Deficiência na sua Família?")</f>
        <v>Tem Alguma Pessoa com Deficiência na sua Família?</v>
      </c>
      <c r="B156" s="24" t="str">
        <f>IFERROR(__xludf.DUMMYFUNCTION("""COMPUTED_VALUE"""),"Silvana Santos; Fernando Kok (org.)")</f>
        <v>Silvana Santos; Fernando Kok (org.)</v>
      </c>
      <c r="C156" s="24" t="str">
        <f>IFERROR(__xludf.DUMMYFUNCTION("""COMPUTED_VALUE"""),"Campina Grande")</f>
        <v>Campina Grande</v>
      </c>
      <c r="D156" s="24" t="str">
        <f>IFERROR(__xludf.DUMMYFUNCTION("""COMPUTED_VALUE"""),"EDUEPB")</f>
        <v>EDUEPB</v>
      </c>
      <c r="E156" s="25">
        <f>IFERROR(__xludf.DUMMYFUNCTION("""COMPUTED_VALUE"""),2015.0)</f>
        <v>2015</v>
      </c>
      <c r="F156" s="24" t="str">
        <f>IFERROR(__xludf.DUMMYFUNCTION("""COMPUTED_VALUE"""),"Pessoas com deficiência; Transtorno psiquiátrico. Deficiência intelectual. Perda auditiva. Perda visual. Síndrome de Spoan")</f>
        <v>Pessoas com deficiência; Transtorno psiquiátrico. Deficiência intelectual. Perda auditiva. Perda visual. Síndrome de Spoan</v>
      </c>
      <c r="G156" s="28" t="str">
        <f>IFERROR(__xludf.DUMMYFUNCTION("""COMPUTED_VALUE"""),"9788578792619")</f>
        <v>9788578792619</v>
      </c>
      <c r="H156" s="29" t="str">
        <f>IFERROR(__xludf.DUMMYFUNCTION("""COMPUTED_VALUE"""),"http://eduepb.uepb.edu.br/download/tem-alguma-pessoa-com-deficiencia-na-sua-familia/?wpdmdl=211&amp;amp;masterkey=5af9a1f9acdc5")</f>
        <v>http://eduepb.uepb.edu.br/download/tem-alguma-pessoa-com-deficiencia-na-sua-familia/?wpdmdl=211&amp;amp;masterkey=5af9a1f9acdc5</v>
      </c>
      <c r="I156" s="24" t="str">
        <f>IFERROR(__xludf.DUMMYFUNCTION("""COMPUTED_VALUE"""),"Ciências da Saúde")</f>
        <v>Ciências da Saúde</v>
      </c>
    </row>
    <row r="157">
      <c r="A157" s="24" t="str">
        <f>IFERROR(__xludf.DUMMYFUNCTION("""COMPUTED_VALUE"""),"Tenho zumbido e agora?")</f>
        <v>Tenho zumbido e agora?</v>
      </c>
      <c r="B157" s="24" t="str">
        <f>IFERROR(__xludf.DUMMYFUNCTION("""COMPUTED_VALUE"""),"Aila Murielle Medeiro Bezerra, Marine Raquel Dinz da Rosa, Aline Menezes Guedes, Claúdia da Silva Carneiro. ")</f>
        <v>Aila Murielle Medeiro Bezerra, Marine Raquel Dinz da Rosa, Aline Menezes Guedes, Claúdia da Silva Carneiro. </v>
      </c>
      <c r="C157" s="24" t="str">
        <f>IFERROR(__xludf.DUMMYFUNCTION("""COMPUTED_VALUE"""),"João Pessoa")</f>
        <v>João Pessoa</v>
      </c>
      <c r="D157" s="24" t="str">
        <f>IFERROR(__xludf.DUMMYFUNCTION("""COMPUTED_VALUE"""),"Editora da UFPB")</f>
        <v>Editora da UFPB</v>
      </c>
      <c r="E157" s="25">
        <f>IFERROR(__xludf.DUMMYFUNCTION("""COMPUTED_VALUE"""),2019.0)</f>
        <v>2019</v>
      </c>
      <c r="F157" s="24" t="str">
        <f>IFERROR(__xludf.DUMMYFUNCTION("""COMPUTED_VALUE"""),"Zumbido; Audição")</f>
        <v>Zumbido; Audição</v>
      </c>
      <c r="G157" s="28" t="str">
        <f>IFERROR(__xludf.DUMMYFUNCTION("""COMPUTED_VALUE"""),"987852379")</f>
        <v>987852379</v>
      </c>
      <c r="H157" s="29" t="str">
        <f>IFERROR(__xludf.DUMMYFUNCTION("""COMPUTED_VALUE"""),"http://www.editora.ufpb.br/sistema/press5/index.php/UFPB/catalog/book/123")</f>
        <v>http://www.editora.ufpb.br/sistema/press5/index.php/UFPB/catalog/book/123</v>
      </c>
      <c r="I157" s="24" t="str">
        <f>IFERROR(__xludf.DUMMYFUNCTION("""COMPUTED_VALUE"""),"Ciências da Saúde")</f>
        <v>Ciências da Saúde</v>
      </c>
    </row>
    <row r="158">
      <c r="A158" s="24" t="str">
        <f>IFERROR(__xludf.DUMMYFUNCTION("""COMPUTED_VALUE"""),"Todo dia é dia de ciência: corpo humano e saúde")</f>
        <v>Todo dia é dia de ciência: corpo humano e saúde</v>
      </c>
      <c r="B158" s="24" t="str">
        <f>IFERROR(__xludf.DUMMYFUNCTION("""COMPUTED_VALUE"""),"Mirley Luciene dos Santos (org.)")</f>
        <v>Mirley Luciene dos Santos (org.)</v>
      </c>
      <c r="C158" s="24" t="str">
        <f>IFERROR(__xludf.DUMMYFUNCTION("""COMPUTED_VALUE"""),"Anápolis")</f>
        <v>Anápolis</v>
      </c>
      <c r="D158" s="24" t="str">
        <f>IFERROR(__xludf.DUMMYFUNCTION("""COMPUTED_VALUE"""),"UEG")</f>
        <v>UEG</v>
      </c>
      <c r="E158" s="25">
        <f>IFERROR(__xludf.DUMMYFUNCTION("""COMPUTED_VALUE"""),2016.0)</f>
        <v>2016</v>
      </c>
      <c r="F158" s="24" t="str">
        <f>IFERROR(__xludf.DUMMYFUNCTION("""COMPUTED_VALUE"""),"Educação; Ensino; Ciência; Ensino de Ciência; Atividade científica")</f>
        <v>Educação; Ensino; Ciência; Ensino de Ciência; Atividade científica</v>
      </c>
      <c r="G158" s="28" t="str">
        <f>IFERROR(__xludf.DUMMYFUNCTION("""COMPUTED_VALUE"""),"9788555820182")</f>
        <v>9788555820182</v>
      </c>
      <c r="H158" s="29" t="str">
        <f>IFERROR(__xludf.DUMMYFUNCTION("""COMPUTED_VALUE"""),"http://cdn.ueg.edu.br/source/editora_ueg/conteudo_compartilhado/11014/Todo_dia_e_dia_de_ciencia_livro_3_corpo_humano_e_saude.pdf")</f>
        <v>http://cdn.ueg.edu.br/source/editora_ueg/conteudo_compartilhado/11014/Todo_dia_e_dia_de_ciencia_livro_3_corpo_humano_e_saude.pdf</v>
      </c>
      <c r="I158" s="24" t="str">
        <f>IFERROR(__xludf.DUMMYFUNCTION("""COMPUTED_VALUE"""),"Ciências da Saúde")</f>
        <v>Ciências da Saúde</v>
      </c>
    </row>
    <row r="159">
      <c r="A159" s="24" t="str">
        <f>IFERROR(__xludf.DUMMYFUNCTION("""COMPUTED_VALUE"""),"Tópicos de neurociência clínica")</f>
        <v>Tópicos de neurociência clínica</v>
      </c>
      <c r="B159" s="24" t="str">
        <f>IFERROR(__xludf.DUMMYFUNCTION("""COMPUTED_VALUE"""),"Elisabete Castelon Konkiewitz, (organizadora)")</f>
        <v>Elisabete Castelon Konkiewitz, (organizadora)</v>
      </c>
      <c r="C159" s="24" t="str">
        <f>IFERROR(__xludf.DUMMYFUNCTION("""COMPUTED_VALUE"""),"Dourados, MS")</f>
        <v>Dourados, MS</v>
      </c>
      <c r="D159" s="24" t="str">
        <f>IFERROR(__xludf.DUMMYFUNCTION("""COMPUTED_VALUE"""),"Editora da UFGD")</f>
        <v>Editora da UFGD</v>
      </c>
      <c r="E159" s="25">
        <f>IFERROR(__xludf.DUMMYFUNCTION("""COMPUTED_VALUE"""),2010.0)</f>
        <v>2010</v>
      </c>
      <c r="F159" s="24" t="str">
        <f>IFERROR(__xludf.DUMMYFUNCTION("""COMPUTED_VALUE"""),"Neurociências; Sistema nervoso – Doenças; Comportamento – Doenças")</f>
        <v>Neurociências; Sistema nervoso – Doenças; Comportamento – Doenças</v>
      </c>
      <c r="G159" s="28" t="str">
        <f>IFERROR(__xludf.DUMMYFUNCTION("""COMPUTED_VALUE"""),"9788561228651")</f>
        <v>9788561228651</v>
      </c>
      <c r="H159" s="29" t="str">
        <f>IFERROR(__xludf.DUMMYFUNCTION("""COMPUTED_VALUE"""),"http://omp.ufgd.edu.br/omp/index.php/livrosabertos/catalog/view/234/106/382-1")</f>
        <v>http://omp.ufgd.edu.br/omp/index.php/livrosabertos/catalog/view/234/106/382-1</v>
      </c>
      <c r="I159" s="24" t="str">
        <f>IFERROR(__xludf.DUMMYFUNCTION("""COMPUTED_VALUE"""),"Ciências da Saúde")</f>
        <v>Ciências da Saúde</v>
      </c>
    </row>
    <row r="160">
      <c r="A160" s="24" t="str">
        <f>IFERROR(__xludf.DUMMYFUNCTION("""COMPUTED_VALUE"""),"Tópicos em saúde, ambiente e trabalho: um olhar ampliado")</f>
        <v>Tópicos em saúde, ambiente e trabalho: um olhar ampliado</v>
      </c>
      <c r="B160" s="24" t="str">
        <f>IFERROR(__xludf.DUMMYFUNCTION("""COMPUTED_VALUE"""),"Rita de Cássia Pereira Fernandes, Mônica Agelim Gomes de Lima, Tânia Maria de Araújo, (org.)")</f>
        <v>Rita de Cássia Pereira Fernandes, Mônica Agelim Gomes de Lima, Tânia Maria de Araújo, (org.)</v>
      </c>
      <c r="C160" s="24" t="str">
        <f>IFERROR(__xludf.DUMMYFUNCTION("""COMPUTED_VALUE"""),"Salvador")</f>
        <v>Salvador</v>
      </c>
      <c r="D160" s="24" t="str">
        <f>IFERROR(__xludf.DUMMYFUNCTION("""COMPUTED_VALUE"""),"EDUFBA")</f>
        <v>EDUFBA</v>
      </c>
      <c r="E160" s="25">
        <f>IFERROR(__xludf.DUMMYFUNCTION("""COMPUTED_VALUE"""),2014.0)</f>
        <v>2014</v>
      </c>
      <c r="F160" s="24" t="str">
        <f>IFERROR(__xludf.DUMMYFUNCTION("""COMPUTED_VALUE"""),"Saúde e trabalho; Aspectos ambientais; Promoção da saúde; Empregados; Trabalho")</f>
        <v>Saúde e trabalho; Aspectos ambientais; Promoção da saúde; Empregados; Trabalho</v>
      </c>
      <c r="G160" s="28" t="str">
        <f>IFERROR(__xludf.DUMMYFUNCTION("""COMPUTED_VALUE"""),"9788523212315")</f>
        <v>9788523212315</v>
      </c>
      <c r="H160" s="29" t="str">
        <f>IFERROR(__xludf.DUMMYFUNCTION("""COMPUTED_VALUE"""),"http://repositorio.ufba.br/ri/handle/ri/15083")</f>
        <v>http://repositorio.ufba.br/ri/handle/ri/15083</v>
      </c>
      <c r="I160" s="24" t="str">
        <f>IFERROR(__xludf.DUMMYFUNCTION("""COMPUTED_VALUE"""),"Ciências da Saúde")</f>
        <v>Ciências da Saúde</v>
      </c>
    </row>
    <row r="161">
      <c r="A161" s="24" t="str">
        <f>IFERROR(__xludf.DUMMYFUNCTION("""COMPUTED_VALUE"""),"Vida e Sabor sem Leite")</f>
        <v>Vida e Sabor sem Leite</v>
      </c>
      <c r="B161" s="24" t="str">
        <f>IFERROR(__xludf.DUMMYFUNCTION("""COMPUTED_VALUE"""),"Angélica Rodrigues; Míriam Carmo Rodrigues; Antônio Condino Neto")</f>
        <v>Angélica Rodrigues; Míriam Carmo Rodrigues; Antônio Condino Neto</v>
      </c>
      <c r="C161" s="24" t="str">
        <f>IFERROR(__xludf.DUMMYFUNCTION("""COMPUTED_VALUE"""),"Ouro Preto")</f>
        <v>Ouro Preto</v>
      </c>
      <c r="D161" s="24" t="str">
        <f>IFERROR(__xludf.DUMMYFUNCTION("""COMPUTED_VALUE"""),"UFOP")</f>
        <v>UFOP</v>
      </c>
      <c r="E161" s="25">
        <f>IFERROR(__xludf.DUMMYFUNCTION("""COMPUTED_VALUE"""),2011.0)</f>
        <v>2011</v>
      </c>
      <c r="F161" s="24" t="str">
        <f>IFERROR(__xludf.DUMMYFUNCTION("""COMPUTED_VALUE"""),"Nutrição. Alergia a alimentos. Leite")</f>
        <v>Nutrição. Alergia a alimentos. Leite</v>
      </c>
      <c r="G161" s="28" t="str">
        <f>IFERROR(__xludf.DUMMYFUNCTION("""COMPUTED_VALUE"""),"9788528802696")</f>
        <v>9788528802696</v>
      </c>
      <c r="H161" s="29" t="str">
        <f>IFERROR(__xludf.DUMMYFUNCTION("""COMPUTED_VALUE"""),"https://www.editora.ufop.br/index.php/editora/catalog/view/54/39/129-1")</f>
        <v>https://www.editora.ufop.br/index.php/editora/catalog/view/54/39/129-1</v>
      </c>
      <c r="I161" s="24" t="str">
        <f>IFERROR(__xludf.DUMMYFUNCTION("""COMPUTED_VALUE"""),"Ciências da Saúde")</f>
        <v>Ciências da Saúde</v>
      </c>
    </row>
    <row r="162">
      <c r="A162" s="24" t="str">
        <f>IFERROR(__xludf.DUMMYFUNCTION("""COMPUTED_VALUE"""),"Vivências e pesquisa na motricidade humana - 2018")</f>
        <v>Vivências e pesquisa na motricidade humana - 2018</v>
      </c>
      <c r="B162" s="24" t="str">
        <f>IFERROR(__xludf.DUMMYFUNCTION("""COMPUTED_VALUE"""),"Elisabeth Baretta, Gracielle Fin, Josiane Aparecida de Jesus, Leoberto Ricardo Grigollo e Rudy José Nodari Júnior")</f>
        <v>Elisabeth Baretta, Gracielle Fin, Josiane Aparecida de Jesus, Leoberto Ricardo Grigollo e Rudy José Nodari Júnior</v>
      </c>
      <c r="C162" s="24" t="str">
        <f>IFERROR(__xludf.DUMMYFUNCTION("""COMPUTED_VALUE"""),"Joaçaba")</f>
        <v>Joaçaba</v>
      </c>
      <c r="D162" s="24" t="str">
        <f>IFERROR(__xludf.DUMMYFUNCTION("""COMPUTED_VALUE"""),"Unoesc")</f>
        <v>Unoesc</v>
      </c>
      <c r="E162" s="25">
        <f>IFERROR(__xludf.DUMMYFUNCTION("""COMPUTED_VALUE"""),2018.0)</f>
        <v>2018</v>
      </c>
      <c r="F162" s="24" t="str">
        <f>IFERROR(__xludf.DUMMYFUNCTION("""COMPUTED_VALUE"""),"Capacidade motora, Educação física,; Formação profissional")</f>
        <v>Capacidade motora, Educação física,; Formação profissional</v>
      </c>
      <c r="G162" s="28" t="str">
        <f>IFERROR(__xludf.DUMMYFUNCTION("""COMPUTED_VALUE"""),"9788584221912")</f>
        <v>9788584221912</v>
      </c>
      <c r="H162" s="29" t="str">
        <f>IFERROR(__xludf.DUMMYFUNCTION("""COMPUTED_VALUE"""),"https://www.unoesc.edu.br/images/uploads/editora/Ebook_Livro_Viv%c3%aancias__Ed._F%c3%adsica2.pdf")</f>
        <v>https://www.unoesc.edu.br/images/uploads/editora/Ebook_Livro_Viv%c3%aancias__Ed._F%c3%adsica2.pdf</v>
      </c>
      <c r="I162" s="24" t="str">
        <f>IFERROR(__xludf.DUMMYFUNCTION("""COMPUTED_VALUE"""),"Ciências da Saúde")</f>
        <v>Ciências da Saúde</v>
      </c>
    </row>
    <row r="163">
      <c r="A163" s="24" t="str">
        <f>IFERROR(__xludf.DUMMYFUNCTION("""COMPUTED_VALUE"""),"Vivências em atenção básica / Saúde da família")</f>
        <v>Vivências em atenção básica / Saúde da família</v>
      </c>
      <c r="B163" s="24" t="str">
        <f>IFERROR(__xludf.DUMMYFUNCTION("""COMPUTED_VALUE"""),"Ceretta, Luciane Bisognin; Simões, Priscyla Waleska Targino de Azevedo; Mazon, Josete")</f>
        <v>Ceretta, Luciane Bisognin; Simões, Priscyla Waleska Targino de Azevedo; Mazon, Josete</v>
      </c>
      <c r="C163" s="24" t="str">
        <f>IFERROR(__xludf.DUMMYFUNCTION("""COMPUTED_VALUE"""),"Criciúma")</f>
        <v>Criciúma</v>
      </c>
      <c r="D163" s="24" t="str">
        <f>IFERROR(__xludf.DUMMYFUNCTION("""COMPUTED_VALUE"""),"Unesc")</f>
        <v>Unesc</v>
      </c>
      <c r="E163" s="25">
        <f>IFERROR(__xludf.DUMMYFUNCTION("""COMPUTED_VALUE"""),2014.0)</f>
        <v>2014</v>
      </c>
      <c r="F163" s="24" t="str">
        <f>IFERROR(__xludf.DUMMYFUNCTION("""COMPUTED_VALUE"""),"Programa Saúde da Família (Brasil); Saúde da Família; Atenção Primária à Saúde; Educação e saúde; Saúde pública")</f>
        <v>Programa Saúde da Família (Brasil); Saúde da Família; Atenção Primária à Saúde; Educação e saúde; Saúde pública</v>
      </c>
      <c r="G163" s="28" t="str">
        <f>IFERROR(__xludf.DUMMYFUNCTION("""COMPUTED_VALUE"""),"9788588390942")</f>
        <v>9788588390942</v>
      </c>
      <c r="H163" s="29" t="str">
        <f>IFERROR(__xludf.DUMMYFUNCTION("""COMPUTED_VALUE"""),"http://repositorio.unesc.net/handle/1/2768")</f>
        <v>http://repositorio.unesc.net/handle/1/2768</v>
      </c>
      <c r="I163" s="24" t="str">
        <f>IFERROR(__xludf.DUMMYFUNCTION("""COMPUTED_VALUE"""),"Ciências da Saúde")</f>
        <v>Ciências da Saúde</v>
      </c>
    </row>
    <row r="164">
      <c r="A164" s="24" t="str">
        <f>IFERROR(__xludf.DUMMYFUNCTION("""COMPUTED_VALUE"""),"Vivências em atenção básica / Saúde da família")</f>
        <v>Vivências em atenção básica / Saúde da família</v>
      </c>
      <c r="B164" s="24" t="str">
        <f>IFERROR(__xludf.DUMMYFUNCTION("""COMPUTED_VALUE"""),"Ceretta, Luciane Bisognin; Simões, Priscyla Waleska Targino de Azevedo; Bittencourt, Lisiane Tuon Generoso")</f>
        <v>Ceretta, Luciane Bisognin; Simões, Priscyla Waleska Targino de Azevedo; Bittencourt, Lisiane Tuon Generoso</v>
      </c>
      <c r="C164" s="24" t="str">
        <f>IFERROR(__xludf.DUMMYFUNCTION("""COMPUTED_VALUE"""),"Criciúma")</f>
        <v>Criciúma</v>
      </c>
      <c r="D164" s="24" t="str">
        <f>IFERROR(__xludf.DUMMYFUNCTION("""COMPUTED_VALUE"""),"Unesc")</f>
        <v>Unesc</v>
      </c>
      <c r="E164" s="25">
        <f>IFERROR(__xludf.DUMMYFUNCTION("""COMPUTED_VALUE"""),2014.0)</f>
        <v>2014</v>
      </c>
      <c r="F164" s="24" t="str">
        <f>IFERROR(__xludf.DUMMYFUNCTION("""COMPUTED_VALUE"""),"Programa Saúde da Família (Brasil); Saúde da Família; Atenção Primária à Saúde; Educação e saúde; Saúde pública")</f>
        <v>Programa Saúde da Família (Brasil); Saúde da Família; Atenção Primária à Saúde; Educação e saúde; Saúde pública</v>
      </c>
      <c r="G164" s="28" t="str">
        <f>IFERROR(__xludf.DUMMYFUNCTION("""COMPUTED_VALUE"""),"9788584100187")</f>
        <v>9788584100187</v>
      </c>
      <c r="H164" s="29" t="str">
        <f>IFERROR(__xludf.DUMMYFUNCTION("""COMPUTED_VALUE"""),"http://repositorio.unesc.net/handle/1/2769")</f>
        <v>http://repositorio.unesc.net/handle/1/2769</v>
      </c>
      <c r="I164" s="24" t="str">
        <f>IFERROR(__xludf.DUMMYFUNCTION("""COMPUTED_VALUE"""),"Ciências da Saúde")</f>
        <v>Ciências da Saúde</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ref="H91"/>
    <hyperlink r:id="rId91" ref="H92"/>
    <hyperlink r:id="rId92" ref="H93"/>
    <hyperlink r:id="rId93" ref="H94"/>
    <hyperlink r:id="rId94" ref="H95"/>
    <hyperlink r:id="rId95" ref="H96"/>
    <hyperlink r:id="rId96"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location="038;masterkey=5d8e0676c9b18"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ref="H131"/>
    <hyperlink r:id="rId131" ref="H132"/>
    <hyperlink r:id="rId132" ref="H133"/>
    <hyperlink r:id="rId133" ref="H134"/>
    <hyperlink r:id="rId134" ref="H135"/>
    <hyperlink r:id="rId135" ref="H136"/>
    <hyperlink r:id="rId136" ref="H137"/>
    <hyperlink r:id="rId137" ref="H138"/>
    <hyperlink r:id="rId138" ref="H139"/>
    <hyperlink r:id="rId139" ref="H140"/>
    <hyperlink r:id="rId140" ref="H141"/>
    <hyperlink r:id="rId141" ref="H142"/>
    <hyperlink r:id="rId142" ref="H143"/>
    <hyperlink r:id="rId143" ref="H144"/>
    <hyperlink r:id="rId144" ref="H145"/>
    <hyperlink r:id="rId145" ref="H146"/>
    <hyperlink r:id="rId146" ref="H147"/>
    <hyperlink r:id="rId147" ref="H148"/>
    <hyperlink r:id="rId148" ref="H149"/>
    <hyperlink r:id="rId149" ref="H150"/>
    <hyperlink r:id="rId150" location="038;masterkey=5e97662058594" ref="H151"/>
    <hyperlink r:id="rId151" ref="H152"/>
    <hyperlink r:id="rId152" ref="H153"/>
    <hyperlink r:id="rId153" ref="H154"/>
    <hyperlink r:id="rId154" ref="H155"/>
    <hyperlink r:id="rId155" ref="H156"/>
    <hyperlink r:id="rId156" ref="H157"/>
    <hyperlink r:id="rId157" ref="H158"/>
    <hyperlink r:id="rId158" ref="H159"/>
    <hyperlink r:id="rId159" ref="H160"/>
    <hyperlink r:id="rId160" ref="H161"/>
    <hyperlink r:id="rId161" ref="H162"/>
    <hyperlink r:id="rId162" ref="H163"/>
    <hyperlink r:id="rId163" ref="H164"/>
  </hyperlinks>
  <drawing r:id="rId164"/>
  <tableParts count="1">
    <tablePart r:id="rId166"/>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6.43"/>
    <col customWidth="1" min="2" max="2" width="31.43"/>
    <col customWidth="1" min="3" max="3" width="13.86"/>
    <col customWidth="1" min="4" max="4" width="12.43"/>
    <col customWidth="1" min="5" max="5" width="7.43"/>
    <col customWidth="1" min="6" max="6" width="32.43"/>
    <col customWidth="1" min="7" max="7" width="14.86"/>
    <col customWidth="1" min="8" max="8" width="27.86"/>
    <col customWidth="1" hidden="1" min="9" max="9" width="24.0"/>
  </cols>
  <sheetData>
    <row r="1">
      <c r="A1" s="19" t="s">
        <v>23</v>
      </c>
      <c r="B1" s="20" t="s">
        <v>24</v>
      </c>
      <c r="C1" s="20" t="s">
        <v>25</v>
      </c>
      <c r="D1" s="20" t="s">
        <v>26</v>
      </c>
      <c r="E1" s="21" t="s">
        <v>27</v>
      </c>
      <c r="F1" s="20" t="s">
        <v>28</v>
      </c>
      <c r="G1" s="20" t="s">
        <v>29</v>
      </c>
      <c r="H1" s="23" t="s">
        <v>30</v>
      </c>
      <c r="I1" s="20" t="s">
        <v>31</v>
      </c>
    </row>
    <row r="2">
      <c r="A2" s="24" t="str">
        <f>IFERROR(__xludf.DUMMYFUNCTION("IMPORTRANGE(""https://docs.google.com/spreadsheets/d/13YtZlkEQw4W38VCdbK3PbAk4uf6r7LAkUEaRwo0J7Jo/edit#gid=291977917"",""PlanilhaUnificada!B358:J435"")"),"A cartografia geomorfológica como instrumento para o planejamento")</f>
        <v>A cartografia geomorfológica como instrumento para o planejamento</v>
      </c>
      <c r="B2" s="24" t="str">
        <f>IFERROR(__xludf.DUMMYFUNCTION("""COMPUTED_VALUE"""),"Simon, Adriano Luís Heck; Lupinacci, Cenira Maria")</f>
        <v>Simon, Adriano Luís Heck; Lupinacci, Cenira Maria</v>
      </c>
      <c r="C2" s="24" t="str">
        <f>IFERROR(__xludf.DUMMYFUNCTION("""COMPUTED_VALUE"""),"Pelotas")</f>
        <v>Pelotas</v>
      </c>
      <c r="D2" s="24" t="str">
        <f>IFERROR(__xludf.DUMMYFUNCTION("""COMPUTED_VALUE"""),"UFPel")</f>
        <v>UFPel</v>
      </c>
      <c r="E2" s="25">
        <f>IFERROR(__xludf.DUMMYFUNCTION("""COMPUTED_VALUE"""),2019.0)</f>
        <v>2019</v>
      </c>
      <c r="F2" s="24" t="str">
        <f>IFERROR(__xludf.DUMMYFUNCTION("""COMPUTED_VALUE"""),"Cartografia; Cartografia geomorfológica; Relevo; Meio urbano; Meio rural; Áreas litorâneas; Conservação da natureza")</f>
        <v>Cartografia; Cartografia geomorfológica; Relevo; Meio urbano; Meio rural; Áreas litorâneas; Conservação da natureza</v>
      </c>
      <c r="G2" s="28" t="str">
        <f>IFERROR(__xludf.DUMMYFUNCTION("""COMPUTED_VALUE"""),"9788551700396")</f>
        <v>9788551700396</v>
      </c>
      <c r="H2" s="27" t="str">
        <f>IFERROR(__xludf.DUMMYFUNCTION("""COMPUTED_VALUE"""),"http://guaiaca.ufpel.edu.br/bitstream/prefix/4489/1/Cartografia_geomorfol%c3%b3gica_como_instrumento_para_o_planejamento.pdf")</f>
        <v>http://guaiaca.ufpel.edu.br/bitstream/prefix/4489/1/Cartografia_geomorfol%c3%b3gica_como_instrumento_para_o_planejamento.pdf</v>
      </c>
      <c r="I2" s="24" t="str">
        <f>IFERROR(__xludf.DUMMYFUNCTION("""COMPUTED_VALUE"""),"Ciências Exatas e da Terra")</f>
        <v>Ciências Exatas e da Terra</v>
      </c>
    </row>
    <row r="3">
      <c r="A3" s="24" t="str">
        <f>IFERROR(__xludf.DUMMYFUNCTION("""COMPUTED_VALUE"""),"A Produção de Conhecimento Matemático Acerca de Funções de duas Variáveis em um Coletivo de Seres-Humanos-com-Mídias")</f>
        <v>A Produção de Conhecimento Matemático Acerca de Funções de duas Variáveis em um Coletivo de Seres-Humanos-com-Mídias</v>
      </c>
      <c r="B3" s="24" t="str">
        <f>IFERROR(__xludf.DUMMYFUNCTION("""COMPUTED_VALUE"""),"Fabio Luiz de Oliveira")</f>
        <v>Fabio Luiz de Oliveira</v>
      </c>
      <c r="C3" s="24" t="str">
        <f>IFERROR(__xludf.DUMMYFUNCTION("""COMPUTED_VALUE"""),"Ouro Preto")</f>
        <v>Ouro Preto</v>
      </c>
      <c r="D3" s="24" t="str">
        <f>IFERROR(__xludf.DUMMYFUNCTION("""COMPUTED_VALUE"""),"UFOP")</f>
        <v>UFOP</v>
      </c>
      <c r="E3" s="25">
        <f>IFERROR(__xludf.DUMMYFUNCTION("""COMPUTED_VALUE"""),2017.0)</f>
        <v>2017</v>
      </c>
      <c r="F3" s="24" t="str">
        <f>IFERROR(__xludf.DUMMYFUNCTION("""COMPUTED_VALUE"""),"Matemática - Estudo e ensino. Cálculo – Estudo e ensino. Tecnologia da informação. Mídia digital. Software – Matemática")</f>
        <v>Matemática - Estudo e ensino. Cálculo – Estudo e ensino. Tecnologia da informação. Mídia digital. Software – Matemática</v>
      </c>
      <c r="G3" s="28" t="str">
        <f>IFERROR(__xludf.DUMMYFUNCTION("""COMPUTED_VALUE"""),"9788528803587")</f>
        <v>9788528803587</v>
      </c>
      <c r="H3" s="27" t="str">
        <f>IFERROR(__xludf.DUMMYFUNCTION("""COMPUTED_VALUE"""),"https://www.editora.ufop.br/index.php/editora/catalog/view/131/108/353-1")</f>
        <v>https://www.editora.ufop.br/index.php/editora/catalog/view/131/108/353-1</v>
      </c>
      <c r="I3" s="24" t="str">
        <f>IFERROR(__xludf.DUMMYFUNCTION("""COMPUTED_VALUE"""),"Ciências Exatas e da Terra")</f>
        <v>Ciências Exatas e da Terra</v>
      </c>
    </row>
    <row r="4">
      <c r="A4" s="24" t="str">
        <f>IFERROR(__xludf.DUMMYFUNCTION("""COMPUTED_VALUE"""),"Adição e subtração: o suporte didático influência a aprendizagem do estudante?")</f>
        <v>Adição e subtração: o suporte didático influência a aprendizagem do estudante?</v>
      </c>
      <c r="B4" s="24" t="str">
        <f>IFERROR(__xludf.DUMMYFUNCTION("""COMPUTED_VALUE"""),"Eurivalda Ribeiro dos Santos Santana.")</f>
        <v>Eurivalda Ribeiro dos Santos Santana.</v>
      </c>
      <c r="C4" s="24" t="str">
        <f>IFERROR(__xludf.DUMMYFUNCTION("""COMPUTED_VALUE"""),"Ilhéus, BA")</f>
        <v>Ilhéus, BA</v>
      </c>
      <c r="D4" s="24" t="str">
        <f>IFERROR(__xludf.DUMMYFUNCTION("""COMPUTED_VALUE"""),"Editus")</f>
        <v>Editus</v>
      </c>
      <c r="E4" s="25">
        <f>IFERROR(__xludf.DUMMYFUNCTION("""COMPUTED_VALUE"""),2012.0)</f>
        <v>2012</v>
      </c>
      <c r="F4" s="24" t="str">
        <f>IFERROR(__xludf.DUMMYFUNCTION("""COMPUTED_VALUE"""),"Matemática (Ensino Fundamental) – Estudo e ensino; Adição; Subtração")</f>
        <v>Matemática (Ensino Fundamental) – Estudo e ensino; Adição; Subtração</v>
      </c>
      <c r="G4" s="28" t="str">
        <f>IFERROR(__xludf.DUMMYFUNCTION("""COMPUTED_VALUE"""),"9788574552705")</f>
        <v>9788574552705</v>
      </c>
      <c r="H4" s="27" t="str">
        <f>IFERROR(__xludf.DUMMYFUNCTION("""COMPUTED_VALUE"""),"http://www.uesc.br/editora/livrosdigitais2015/ad_sb.pdf")</f>
        <v>http://www.uesc.br/editora/livrosdigitais2015/ad_sb.pdf</v>
      </c>
      <c r="I4" s="24" t="str">
        <f>IFERROR(__xludf.DUMMYFUNCTION("""COMPUTED_VALUE"""),"Ciências Exatas e da Terra")</f>
        <v>Ciências Exatas e da Terra</v>
      </c>
    </row>
    <row r="5">
      <c r="A5" s="24" t="str">
        <f>IFERROR(__xludf.DUMMYFUNCTION("""COMPUTED_VALUE"""),"Álgebra linear: Resumo da teoria - 71 exercício resolvidos e 80 exercícios propostos")</f>
        <v>Álgebra linear: Resumo da teoria - 71 exercício resolvidos e 80 exercícios propostos</v>
      </c>
      <c r="B5" s="24" t="str">
        <f>IFERROR(__xludf.DUMMYFUNCTION("""COMPUTED_VALUE"""),"Cláudia Riberio Santana &amp; Joseph Nee Anyah Yartey")</f>
        <v>Cláudia Riberio Santana &amp; Joseph Nee Anyah Yartey</v>
      </c>
      <c r="C5" s="24"/>
      <c r="D5" s="24"/>
      <c r="E5" s="25"/>
      <c r="F5" s="24"/>
      <c r="G5" s="26"/>
      <c r="H5" s="29" t="str">
        <f>IFERROR(__xludf.DUMMYFUNCTION("""COMPUTED_VALUE"""),"http://www.uesc.br/editora/livrosdigitais2015/algebra_linear.pdf")</f>
        <v>http://www.uesc.br/editora/livrosdigitais2015/algebra_linear.pdf</v>
      </c>
      <c r="I5" s="24" t="str">
        <f>IFERROR(__xludf.DUMMYFUNCTION("""COMPUTED_VALUE"""),"Ciências Exatas e da Terra")</f>
        <v>Ciências Exatas e da Terra</v>
      </c>
    </row>
    <row r="6">
      <c r="A6" s="24" t="str">
        <f>IFERROR(__xludf.DUMMYFUNCTION("""COMPUTED_VALUE"""),"Análise exploratória de dados usando o R")</f>
        <v>Análise exploratória de dados usando o R</v>
      </c>
      <c r="B6" s="24" t="str">
        <f>IFERROR(__xludf.DUMMYFUNCTION("""COMPUTED_VALUE"""),"Enio Jelihovschi")</f>
        <v>Enio Jelihovschi</v>
      </c>
      <c r="C6" s="24" t="str">
        <f>IFERROR(__xludf.DUMMYFUNCTION("""COMPUTED_VALUE"""),"Ilhéus, BA")</f>
        <v>Ilhéus, BA</v>
      </c>
      <c r="D6" s="24" t="str">
        <f>IFERROR(__xludf.DUMMYFUNCTION("""COMPUTED_VALUE"""),"Editus")</f>
        <v>Editus</v>
      </c>
      <c r="E6" s="25">
        <f>IFERROR(__xludf.DUMMYFUNCTION("""COMPUTED_VALUE"""),2014.0)</f>
        <v>2014</v>
      </c>
      <c r="F6" s="24" t="str">
        <f>IFERROR(__xludf.DUMMYFUNCTION("""COMPUTED_VALUE"""),"Estatística-Processamento de dados; R(Linguagem de programação de computador); Análise multivariada (Processamento de dados")</f>
        <v>Estatística-Processamento de dados; R(Linguagem de programação de computador); Análise multivariada (Processamento de dados</v>
      </c>
      <c r="G6" s="28" t="str">
        <f>IFERROR(__xludf.DUMMYFUNCTION("""COMPUTED_VALUE"""),"9788574553702")</f>
        <v>9788574553702</v>
      </c>
      <c r="H6" s="27" t="str">
        <f>IFERROR(__xludf.DUMMYFUNCTION("""COMPUTED_VALUE"""),"http://www.uesc.br/editora/livrosdigitais2/analiseexploratoria_r.pdf")</f>
        <v>http://www.uesc.br/editora/livrosdigitais2/analiseexploratoria_r.pdf</v>
      </c>
      <c r="I6" s="24" t="str">
        <f>IFERROR(__xludf.DUMMYFUNCTION("""COMPUTED_VALUE"""),"Ciências Exatas e da Terra")</f>
        <v>Ciências Exatas e da Terra</v>
      </c>
    </row>
    <row r="7">
      <c r="A7" s="24" t="str">
        <f>IFERROR(__xludf.DUMMYFUNCTION("""COMPUTED_VALUE"""),"Angra I e a melancolia de uma era: um estudo sobre a construção social do risco")</f>
        <v>Angra I e a melancolia de uma era: um estudo sobre a construção social do risco</v>
      </c>
      <c r="B7" s="24" t="str">
        <f>IFERROR(__xludf.DUMMYFUNCTION("""COMPUTED_VALUE"""),"Gláucia Oliveira da Silva")</f>
        <v>Gláucia Oliveira da Silva</v>
      </c>
      <c r="C7" s="24" t="str">
        <f>IFERROR(__xludf.DUMMYFUNCTION("""COMPUTED_VALUE"""),"Niterói, RJ")</f>
        <v>Niterói, RJ</v>
      </c>
      <c r="D7" s="24" t="str">
        <f>IFERROR(__xludf.DUMMYFUNCTION("""COMPUTED_VALUE"""),"EdUFF")</f>
        <v>EdUFF</v>
      </c>
      <c r="E7" s="25">
        <f>IFERROR(__xludf.DUMMYFUNCTION("""COMPUTED_VALUE"""),1999.0)</f>
        <v>1999</v>
      </c>
      <c r="F7" s="24" t="str">
        <f>IFERROR(__xludf.DUMMYFUNCTION("""COMPUTED_VALUE"""),"Riscos tecnológicos; Meio ambiente")</f>
        <v>Riscos tecnológicos; Meio ambiente</v>
      </c>
      <c r="G7" s="28" t="str">
        <f>IFERROR(__xludf.DUMMYFUNCTION("""COMPUTED_VALUE"""),"8522802807")</f>
        <v>8522802807</v>
      </c>
      <c r="H7" s="27" t="str">
        <f>IFERROR(__xludf.DUMMYFUNCTION("""COMPUTED_VALUE"""),"http://www.eduff.uff.br/ebooks/Angra-I-e-a-melancolia-de-uma-era.pdf")</f>
        <v>http://www.eduff.uff.br/ebooks/Angra-I-e-a-melancolia-de-uma-era.pdf</v>
      </c>
      <c r="I7" s="24" t="str">
        <f>IFERROR(__xludf.DUMMYFUNCTION("""COMPUTED_VALUE"""),"Ciências Exatas e da Terra")</f>
        <v>Ciências Exatas e da Terra</v>
      </c>
    </row>
    <row r="8">
      <c r="A8" s="24" t="str">
        <f>IFERROR(__xludf.DUMMYFUNCTION("""COMPUTED_VALUE"""),"Aprendendo a decidir com a pesquisa operacional: modelos e métodos de apoio à decisão")</f>
        <v>Aprendendo a decidir com a pesquisa operacional: modelos e métodos de apoio à decisão</v>
      </c>
      <c r="B8" s="24" t="str">
        <f>IFERROR(__xludf.DUMMYFUNCTION("""COMPUTED_VALUE"""),"Kleber Carlos Ribeiro Pinto")</f>
        <v>Kleber Carlos Ribeiro Pinto</v>
      </c>
      <c r="C8" s="24" t="str">
        <f>IFERROR(__xludf.DUMMYFUNCTION("""COMPUTED_VALUE"""),"Uberlândia")</f>
        <v>Uberlândia</v>
      </c>
      <c r="D8" s="24" t="str">
        <f>IFERROR(__xludf.DUMMYFUNCTION("""COMPUTED_VALUE"""),"EDUFU")</f>
        <v>EDUFU</v>
      </c>
      <c r="E8" s="25">
        <f>IFERROR(__xludf.DUMMYFUNCTION("""COMPUTED_VALUE"""),2008.0)</f>
        <v>2008</v>
      </c>
      <c r="F8" s="24" t="str">
        <f>IFERROR(__xludf.DUMMYFUNCTION("""COMPUTED_VALUE"""),"Pesquisa operacional; Programação linear; Teoria das filas; Árvores de decisão. I. II. Título")</f>
        <v>Pesquisa operacional; Programação linear; Teoria das filas; Árvores de decisão. I. II. Título</v>
      </c>
      <c r="G8" s="28" t="str">
        <f>IFERROR(__xludf.DUMMYFUNCTION("""COMPUTED_VALUE"""),"9788570781741")</f>
        <v>9788570781741</v>
      </c>
      <c r="H8" s="29" t="str">
        <f>IFERROR(__xludf.DUMMYFUNCTION("""COMPUTED_VALUE"""),"http://www.edufu.ufu.br/sites/edufu.ufu.br/files/e-book_aprendendo_a_decidir_2015_0.pdf")</f>
        <v>http://www.edufu.ufu.br/sites/edufu.ufu.br/files/e-book_aprendendo_a_decidir_2015_0.pdf</v>
      </c>
      <c r="I8" s="24" t="str">
        <f>IFERROR(__xludf.DUMMYFUNCTION("""COMPUTED_VALUE"""),"Ciências Exatas e da Terra")</f>
        <v>Ciências Exatas e da Terra</v>
      </c>
    </row>
    <row r="9">
      <c r="A9" s="24" t="str">
        <f>IFERROR(__xludf.DUMMYFUNCTION("""COMPUTED_VALUE"""),"AutoCAD 2016 para iniciantes: comandos básicos e exercícios de referência")</f>
        <v>AutoCAD 2016 para iniciantes: comandos básicos e exercícios de referência</v>
      </c>
      <c r="B9" s="24" t="str">
        <f>IFERROR(__xludf.DUMMYFUNCTION("""COMPUTED_VALUE"""),"Marcia Marques de Queiroz Carvalho")</f>
        <v>Marcia Marques de Queiroz Carvalho</v>
      </c>
      <c r="C9" s="24" t="str">
        <f>IFERROR(__xludf.DUMMYFUNCTION("""COMPUTED_VALUE"""),"Niterói, RJ")</f>
        <v>Niterói, RJ</v>
      </c>
      <c r="D9" s="24" t="str">
        <f>IFERROR(__xludf.DUMMYFUNCTION("""COMPUTED_VALUE"""),"EDUFF")</f>
        <v>EDUFF</v>
      </c>
      <c r="E9" s="25">
        <f>IFERROR(__xludf.DUMMYFUNCTION("""COMPUTED_VALUE"""),2017.0)</f>
        <v>2017</v>
      </c>
      <c r="F9" s="24" t="str">
        <f>IFERROR(__xludf.DUMMYFUNCTION("""COMPUTED_VALUE"""),"AutoCAD (Programas de computador); Computação gráfica")</f>
        <v>AutoCAD (Programas de computador); Computação gráfica</v>
      </c>
      <c r="G9" s="28" t="str">
        <f>IFERROR(__xludf.DUMMYFUNCTION("""COMPUTED_VALUE"""),"9788522813049")</f>
        <v>9788522813049</v>
      </c>
      <c r="H9" s="29" t="str">
        <f>IFERROR(__xludf.DUMMYFUNCTION("""COMPUTED_VALUE"""),"http://www.eduff.uff.br/index.php/livros/729-autocad-2016-para-iniciantes-comandos-basicos-e-exercicios-de-referencia")</f>
        <v>http://www.eduff.uff.br/index.php/livros/729-autocad-2016-para-iniciantes-comandos-basicos-e-exercicios-de-referencia</v>
      </c>
      <c r="I9" s="24" t="str">
        <f>IFERROR(__xludf.DUMMYFUNCTION("""COMPUTED_VALUE"""),"Ciências Exatas e da Terra")</f>
        <v>Ciências Exatas e da Terra</v>
      </c>
    </row>
    <row r="10">
      <c r="A10" s="24" t="str">
        <f>IFERROR(__xludf.DUMMYFUNCTION("""COMPUTED_VALUE"""),"Cadernos de experimentos e curiosidades da química na Casa da Descoberta")</f>
        <v>Cadernos de experimentos e curiosidades da química na Casa da Descoberta</v>
      </c>
      <c r="B10" s="24" t="str">
        <f>IFERROR(__xludf.DUMMYFUNCTION("""COMPUTED_VALUE"""),"Carlos Magno Rocha Ribeiro, Daisy Maria Luz e Márcia Narcizo Borges (org.)")</f>
        <v>Carlos Magno Rocha Ribeiro, Daisy Maria Luz e Márcia Narcizo Borges (org.)</v>
      </c>
      <c r="C10" s="24" t="str">
        <f>IFERROR(__xludf.DUMMYFUNCTION("""COMPUTED_VALUE"""),"Niterói, RJ")</f>
        <v>Niterói, RJ</v>
      </c>
      <c r="D10" s="24" t="str">
        <f>IFERROR(__xludf.DUMMYFUNCTION("""COMPUTED_VALUE"""),"Editora da UFF")</f>
        <v>Editora da UFF</v>
      </c>
      <c r="E10" s="25">
        <f>IFERROR(__xludf.DUMMYFUNCTION("""COMPUTED_VALUE"""),2009.0)</f>
        <v>2009</v>
      </c>
      <c r="F10" s="24" t="str">
        <f>IFERROR(__xludf.DUMMYFUNCTION("""COMPUTED_VALUE"""),"Experiências; Química")</f>
        <v>Experiências; Química</v>
      </c>
      <c r="G10" s="28" t="str">
        <f>IFERROR(__xludf.DUMMYFUNCTION("""COMPUTED_VALUE"""),"9788522805174")</f>
        <v>9788522805174</v>
      </c>
      <c r="H10" s="29" t="str">
        <f>IFERROR(__xludf.DUMMYFUNCTION("""COMPUTED_VALUE"""),"http://www.eduff.uff.br/index.php/catalogo/livros/59-cadernos-de-experimentos-e-curiosidades-da-quimica-na-casa-da-descoberta")</f>
        <v>http://www.eduff.uff.br/index.php/catalogo/livros/59-cadernos-de-experimentos-e-curiosidades-da-quimica-na-casa-da-descoberta</v>
      </c>
      <c r="I10" s="24" t="str">
        <f>IFERROR(__xludf.DUMMYFUNCTION("""COMPUTED_VALUE"""),"Ciências Exatas e da Terra")</f>
        <v>Ciências Exatas e da Terra</v>
      </c>
    </row>
    <row r="11">
      <c r="A11" s="24" t="str">
        <f>IFERROR(__xludf.DUMMYFUNCTION("""COMPUTED_VALUE"""),"Cálculo 1: derivada e integral em uma variável")</f>
        <v>Cálculo 1: derivada e integral em uma variável</v>
      </c>
      <c r="B11" s="24" t="str">
        <f>IFERROR(__xludf.DUMMYFUNCTION("""COMPUTED_VALUE"""),"Mauro Patrão")</f>
        <v>Mauro Patrão</v>
      </c>
      <c r="C11" s="24" t="str">
        <f>IFERROR(__xludf.DUMMYFUNCTION("""COMPUTED_VALUE"""),"Brasília")</f>
        <v>Brasília</v>
      </c>
      <c r="D11" s="24" t="str">
        <f>IFERROR(__xludf.DUMMYFUNCTION("""COMPUTED_VALUE"""),"Editora Universidade de Brasília")</f>
        <v>Editora Universidade de Brasília</v>
      </c>
      <c r="E11" s="25">
        <f>IFERROR(__xludf.DUMMYFUNCTION("""COMPUTED_VALUE"""),2011.0)</f>
        <v>2011</v>
      </c>
      <c r="F11" s="24" t="str">
        <f>IFERROR(__xludf.DUMMYFUNCTION("""COMPUTED_VALUE"""),"Sequências; Derivada; Gráficos; Otimização; Integral; Velocidade; Aceleração; Sistema massa-mola-amortecimento; Sistema pistão-virabrequim; Sistema balístico; Pêndulo sem atrito")</f>
        <v>Sequências; Derivada; Gráficos; Otimização; Integral; Velocidade; Aceleração; Sistema massa-mola-amortecimento; Sistema pistão-virabrequim; Sistema balístico; Pêndulo sem atrito</v>
      </c>
      <c r="G11" s="28" t="str">
        <f>IFERROR(__xludf.DUMMYFUNCTION("""COMPUTED_VALUE"""),"9788523012854")</f>
        <v>9788523012854</v>
      </c>
      <c r="H11" s="29" t="str">
        <f>IFERROR(__xludf.DUMMYFUNCTION("""COMPUTED_VALUE"""),"https://livros.unb.br/index.php/portal/catalog/view/7/7/38-1")</f>
        <v>https://livros.unb.br/index.php/portal/catalog/view/7/7/38-1</v>
      </c>
      <c r="I11" s="24" t="str">
        <f>IFERROR(__xludf.DUMMYFUNCTION("""COMPUTED_VALUE"""),"Ciências Exatas e da Terra")</f>
        <v>Ciências Exatas e da Terra</v>
      </c>
    </row>
    <row r="12">
      <c r="A12" s="24" t="str">
        <f>IFERROR(__xludf.DUMMYFUNCTION("""COMPUTED_VALUE"""),"Cálculo diferencial em R")</f>
        <v>Cálculo diferencial em R</v>
      </c>
      <c r="B12" s="24" t="str">
        <f>IFERROR(__xludf.DUMMYFUNCTION("""COMPUTED_VALUE"""),"Christian José Quintana Pinedo")</f>
        <v>Christian José Quintana Pinedo</v>
      </c>
      <c r="C12" s="24" t="str">
        <f>IFERROR(__xludf.DUMMYFUNCTION("""COMPUTED_VALUE"""),"Rio Branco")</f>
        <v>Rio Branco</v>
      </c>
      <c r="D12" s="24" t="str">
        <f>IFERROR(__xludf.DUMMYFUNCTION("""COMPUTED_VALUE"""),"Edufac")</f>
        <v>Edufac</v>
      </c>
      <c r="E12" s="25">
        <f>IFERROR(__xludf.DUMMYFUNCTION("""COMPUTED_VALUE"""),2017.0)</f>
        <v>2017</v>
      </c>
      <c r="F12" s="24" t="str">
        <f>IFERROR(__xludf.DUMMYFUNCTION("""COMPUTED_VALUE"""),"Matemática; Cálculo diferencial")</f>
        <v>Matemática; Cálculo diferencial</v>
      </c>
      <c r="G12" s="28" t="str">
        <f>IFERROR(__xludf.DUMMYFUNCTION("""COMPUTED_VALUE"""),"9788582360408")</f>
        <v>9788582360408</v>
      </c>
      <c r="H12" s="29" t="str">
        <f>IFERROR(__xludf.DUMMYFUNCTION("""COMPUTED_VALUE"""),"http://www2.ufac.br/editora/livros/calculo-diferencial-em-r.pdf")</f>
        <v>http://www2.ufac.br/editora/livros/calculo-diferencial-em-r.pdf</v>
      </c>
      <c r="I12" s="24" t="str">
        <f>IFERROR(__xludf.DUMMYFUNCTION("""COMPUTED_VALUE"""),"Ciências Exatas e da Terra")</f>
        <v>Ciências Exatas e da Terra</v>
      </c>
    </row>
    <row r="13">
      <c r="A13" s="24" t="str">
        <f>IFERROR(__xludf.DUMMYFUNCTION("""COMPUTED_VALUE"""),"Cálculo numérico computacional")</f>
        <v>Cálculo numérico computacional</v>
      </c>
      <c r="B13" s="24" t="str">
        <f>IFERROR(__xludf.DUMMYFUNCTION("""COMPUTED_VALUE"""),"Peters, Sérgio; Szeremeta, Julio Felipe")</f>
        <v>Peters, Sérgio; Szeremeta, Julio Felipe</v>
      </c>
      <c r="C13" s="24" t="str">
        <f>IFERROR(__xludf.DUMMYFUNCTION("""COMPUTED_VALUE"""),"Florianópolis")</f>
        <v>Florianópolis</v>
      </c>
      <c r="D13" s="24" t="str">
        <f>IFERROR(__xludf.DUMMYFUNCTION("""COMPUTED_VALUE"""),"Editora da UFSC")</f>
        <v>Editora da UFSC</v>
      </c>
      <c r="E13" s="25">
        <f>IFERROR(__xludf.DUMMYFUNCTION("""COMPUTED_VALUE"""),2018.0)</f>
        <v>2018</v>
      </c>
      <c r="F13" s="24" t="str">
        <f>IFERROR(__xludf.DUMMYFUNCTION("""COMPUTED_VALUE"""),"Matemática aplicada à computação;Computação;Informática")</f>
        <v>Matemática aplicada à computação;Computação;Informática</v>
      </c>
      <c r="G13" s="28" t="str">
        <f>IFERROR(__xludf.DUMMYFUNCTION("""COMPUTED_VALUE"""),"9788532808387")</f>
        <v>9788532808387</v>
      </c>
      <c r="H13" s="29" t="str">
        <f>IFERROR(__xludf.DUMMYFUNCTION("""COMPUTED_VALUE"""),"https://repositorio.ufsc.br/handle/123456789/196139")</f>
        <v>https://repositorio.ufsc.br/handle/123456789/196139</v>
      </c>
      <c r="I13" s="24" t="str">
        <f>IFERROR(__xludf.DUMMYFUNCTION("""COMPUTED_VALUE"""),"Ciências Exatas e da Terra")</f>
        <v>Ciências Exatas e da Terra</v>
      </c>
    </row>
    <row r="14">
      <c r="A14" s="24" t="str">
        <f>IFERROR(__xludf.DUMMYFUNCTION("""COMPUTED_VALUE"""),"Carvão e meio ambiente")</f>
        <v>Carvão e meio ambiente</v>
      </c>
      <c r="B14" s="24" t="str">
        <f>IFERROR(__xludf.DUMMYFUNCTION("""COMPUTED_VALUE"""),"Universidade Federal do Rio Grande do Sul. Centro de Ecologia ")</f>
        <v>Universidade Federal do Rio Grande do Sul. Centro de Ecologia </v>
      </c>
      <c r="C14" s="24" t="str">
        <f>IFERROR(__xludf.DUMMYFUNCTION("""COMPUTED_VALUE"""),"Porto Alegre")</f>
        <v>Porto Alegre</v>
      </c>
      <c r="D14" s="24" t="str">
        <f>IFERROR(__xludf.DUMMYFUNCTION("""COMPUTED_VALUE"""),"UFRGS")</f>
        <v>UFRGS</v>
      </c>
      <c r="E14" s="25">
        <f>IFERROR(__xludf.DUMMYFUNCTION("""COMPUTED_VALUE"""),2000.0)</f>
        <v>2000</v>
      </c>
      <c r="F14" s="24" t="str">
        <f>IFERROR(__xludf.DUMMYFUNCTION("""COMPUTED_VALUE"""),"Carvão; Carvão mineral; Impacto ambiental; Jacuí, Rio (RS); Meio ambiente")</f>
        <v>Carvão; Carvão mineral; Impacto ambiental; Jacuí, Rio (RS); Meio ambiente</v>
      </c>
      <c r="G14" s="28" t="str">
        <f>IFERROR(__xludf.DUMMYFUNCTION("""COMPUTED_VALUE"""),"9788570255631 	8570255632")</f>
        <v>9788570255631 	8570255632</v>
      </c>
      <c r="H14" s="29" t="str">
        <f>IFERROR(__xludf.DUMMYFUNCTION("""COMPUTED_VALUE"""),"http://hdl.handle.net/10183/198764")</f>
        <v>http://hdl.handle.net/10183/198764</v>
      </c>
      <c r="I14" s="24" t="str">
        <f>IFERROR(__xludf.DUMMYFUNCTION("""COMPUTED_VALUE"""),"Ciências Exatas e da Terra")</f>
        <v>Ciências Exatas e da Terra</v>
      </c>
    </row>
    <row r="15">
      <c r="A15" s="24" t="str">
        <f>IFERROR(__xludf.DUMMYFUNCTION("""COMPUTED_VALUE"""),"Cenários para investigação como ambiente de aprendizagem no contexto da matemática financeira")</f>
        <v>Cenários para investigação como ambiente de aprendizagem no contexto da matemática financeira</v>
      </c>
      <c r="B15" s="24" t="str">
        <f>IFERROR(__xludf.DUMMYFUNCTION("""COMPUTED_VALUE"""),"Flávia Márcia Cruz Moreira")</f>
        <v>Flávia Márcia Cruz Moreira</v>
      </c>
      <c r="C15" s="24" t="str">
        <f>IFERROR(__xludf.DUMMYFUNCTION("""COMPUTED_VALUE"""),"Ouro Preto")</f>
        <v>Ouro Preto</v>
      </c>
      <c r="D15" s="24" t="str">
        <f>IFERROR(__xludf.DUMMYFUNCTION("""COMPUTED_VALUE"""),"UFOP")</f>
        <v>UFOP</v>
      </c>
      <c r="E15" s="25">
        <f>IFERROR(__xludf.DUMMYFUNCTION("""COMPUTED_VALUE"""),2017.0)</f>
        <v>2017</v>
      </c>
      <c r="F15" s="24" t="str">
        <f>IFERROR(__xludf.DUMMYFUNCTION("""COMPUTED_VALUE"""),"Matemática - Estudo e ensino. Pesquisa matemática. Matemática financeira")</f>
        <v>Matemática - Estudo e ensino. Pesquisa matemática. Matemática financeira</v>
      </c>
      <c r="G15" s="28" t="str">
        <f>IFERROR(__xludf.DUMMYFUNCTION("""COMPUTED_VALUE"""),"9788528803570")</f>
        <v>9788528803570</v>
      </c>
      <c r="H15" s="29" t="str">
        <f>IFERROR(__xludf.DUMMYFUNCTION("""COMPUTED_VALUE"""),"https://www.editora.ufop.br/index.php/editora/catalog/view/132/106/349-1")</f>
        <v>https://www.editora.ufop.br/index.php/editora/catalog/view/132/106/349-1</v>
      </c>
      <c r="I15" s="24" t="str">
        <f>IFERROR(__xludf.DUMMYFUNCTION("""COMPUTED_VALUE"""),"Ciências Exatas e da Terra")</f>
        <v>Ciências Exatas e da Terra</v>
      </c>
    </row>
    <row r="16">
      <c r="A16" s="24" t="str">
        <f>IFERROR(__xludf.DUMMYFUNCTION("""COMPUTED_VALUE"""),"Ciência do futuro e futuro da ciência: redes e políticas de nanociência e nanotecnologia no Brasil")</f>
        <v>Ciência do futuro e futuro da ciência: redes e políticas de nanociência e nanotecnologia no Brasil</v>
      </c>
      <c r="B16" s="24" t="str">
        <f>IFERROR(__xludf.DUMMYFUNCTION("""COMPUTED_VALUE"""),"Jorge Luiz dos Santos Junior")</f>
        <v>Jorge Luiz dos Santos Junior</v>
      </c>
      <c r="C16" s="24" t="str">
        <f>IFERROR(__xludf.DUMMYFUNCTION("""COMPUTED_VALUE"""),"Rio de Janeiro")</f>
        <v>Rio de Janeiro</v>
      </c>
      <c r="D16" s="24" t="str">
        <f>IFERROR(__xludf.DUMMYFUNCTION("""COMPUTED_VALUE"""),"EdUERJ")</f>
        <v>EdUERJ</v>
      </c>
      <c r="E16" s="25">
        <f>IFERROR(__xludf.DUMMYFUNCTION("""COMPUTED_VALUE"""),2013.0)</f>
        <v>2013</v>
      </c>
      <c r="F16" s="24" t="str">
        <f>IFERROR(__xludf.DUMMYFUNCTION("""COMPUTED_VALUE"""),"Ciência; Tecnologia; Nanociências;. Nanotecnologia ")</f>
        <v>Ciência; Tecnologia; Nanociências;. Nanotecnologia </v>
      </c>
      <c r="G16" s="28" t="str">
        <f>IFERROR(__xludf.DUMMYFUNCTION("""COMPUTED_VALUE"""),"9788575112878")</f>
        <v>9788575112878</v>
      </c>
      <c r="H16" s="29" t="str">
        <f>IFERROR(__xludf.DUMMYFUNCTION("""COMPUTED_VALUE"""),"https://www.eduerj.com/eng/?product=ciencia-do-futuro-e-futuro-da-ciencia-redes-e-politicas-de-nanociencia-e-nanotecnologia-no-brasil-ebookhttps://www.eduerj.com/eng/?product=ciencia-do-futuro-e-futuro-da-ciencia-redes-e-politicas-de-nanociencia-e-nanotec"&amp;"nologia-no-brasil-ebook")</f>
        <v>https://www.eduerj.com/eng/?product=ciencia-do-futuro-e-futuro-da-ciencia-redes-e-politicas-de-nanociencia-e-nanotecnologia-no-brasil-ebookhttps://www.eduerj.com/eng/?product=ciencia-do-futuro-e-futuro-da-ciencia-redes-e-politicas-de-nanociencia-e-nanotecnologia-no-brasil-ebook</v>
      </c>
      <c r="I16" s="24" t="str">
        <f>IFERROR(__xludf.DUMMYFUNCTION("""COMPUTED_VALUE"""),"Ciências Exatas e da Terra")</f>
        <v>Ciências Exatas e da Terra</v>
      </c>
    </row>
    <row r="17">
      <c r="A17" s="24" t="str">
        <f>IFERROR(__xludf.DUMMYFUNCTION("""COMPUTED_VALUE"""),"Ciências Exatas e Computação: os desafios em tempos de modernidade")</f>
        <v>Ciências Exatas e Computação: os desafios em tempos de modernidade</v>
      </c>
      <c r="B17" s="24" t="str">
        <f>IFERROR(__xludf.DUMMYFUNCTION("""COMPUTED_VALUE"""),"Simpósio de Licenciatura em Ciências Exatas e Computação ; Bacalhau, Eduardo Tadeu")</f>
        <v>Simpósio de Licenciatura em Ciências Exatas e Computação ; Bacalhau, Eduardo Tadeu</v>
      </c>
      <c r="C17" s="24" t="str">
        <f>IFERROR(__xludf.DUMMYFUNCTION("""COMPUTED_VALUE"""),"Pontal do Paraná")</f>
        <v>Pontal do Paraná</v>
      </c>
      <c r="D17" s="24" t="str">
        <f>IFERROR(__xludf.DUMMYFUNCTION("""COMPUTED_VALUE"""),"UFPR")</f>
        <v>UFPR</v>
      </c>
      <c r="E17" s="25">
        <f>IFERROR(__xludf.DUMMYFUNCTION("""COMPUTED_VALUE"""),2020.0)</f>
        <v>2020</v>
      </c>
      <c r="F17" s="24" t="str">
        <f>IFERROR(__xludf.DUMMYFUNCTION("""COMPUTED_VALUE"""),"Ciencias exatas; Computação")</f>
        <v>Ciencias exatas; Computação</v>
      </c>
      <c r="G17" s="28" t="str">
        <f>IFERROR(__xludf.DUMMYFUNCTION("""COMPUTED_VALUE"""),"9786556610009")</f>
        <v>9786556610009</v>
      </c>
      <c r="H17" s="29" t="str">
        <f>IFERROR(__xludf.DUMMYFUNCTION("""COMPUTED_VALUE"""),"https://hdl.handle.net/1884/66949")</f>
        <v>https://hdl.handle.net/1884/66949</v>
      </c>
      <c r="I17" s="24" t="str">
        <f>IFERROR(__xludf.DUMMYFUNCTION("""COMPUTED_VALUE"""),"Ciências Exatas e da Terra")</f>
        <v>Ciências Exatas e da Terra</v>
      </c>
    </row>
    <row r="18">
      <c r="A18" s="24" t="str">
        <f>IFERROR(__xludf.DUMMYFUNCTION("""COMPUTED_VALUE"""),"Ciências Exatas: resultados dos projetos de iniciação científica da Universidade Federal do Amapá (2012-2016) ")</f>
        <v>Ciências Exatas: resultados dos projetos de iniciação científica da Universidade Federal do Amapá (2012-2016) </v>
      </c>
      <c r="B18" s="24" t="str">
        <f>IFERROR(__xludf.DUMMYFUNCTION("""COMPUTED_VALUE"""),"Organização de Alaan Ubaiara Brito, Cris Evelin da Costa Dalmácio e Helena Cristina Guimarães Queiroz Simões. ")</f>
        <v>Organização de Alaan Ubaiara Brito, Cris Evelin da Costa Dalmácio e Helena Cristina Guimarães Queiroz Simões. </v>
      </c>
      <c r="C18" s="24" t="str">
        <f>IFERROR(__xludf.DUMMYFUNCTION("""COMPUTED_VALUE"""),"Macapá")</f>
        <v>Macapá</v>
      </c>
      <c r="D18" s="24" t="str">
        <f>IFERROR(__xludf.DUMMYFUNCTION("""COMPUTED_VALUE"""),"UNIFAP")</f>
        <v>UNIFAP</v>
      </c>
      <c r="E18" s="25">
        <f>IFERROR(__xludf.DUMMYFUNCTION("""COMPUTED_VALUE"""),2017.0)</f>
        <v>2017</v>
      </c>
      <c r="F18" s="24" t="str">
        <f>IFERROR(__xludf.DUMMYFUNCTION("""COMPUTED_VALUE"""),"Ciências Exatas; Engenharia; Física; Computação")</f>
        <v>Ciências Exatas; Engenharia; Física; Computação</v>
      </c>
      <c r="G18" s="28" t="str">
        <f>IFERROR(__xludf.DUMMYFUNCTION("""COMPUTED_VALUE"""),"9788562359675")</f>
        <v>9788562359675</v>
      </c>
      <c r="H18" s="29" t="str">
        <f>IFERROR(__xludf.DUMMYFUNCTION("""COMPUTED_VALUE"""),"https://www2.unifap.br/editora/files/2014/12/Livro-CE-finalizado.pdf")</f>
        <v>https://www2.unifap.br/editora/files/2014/12/Livro-CE-finalizado.pdf</v>
      </c>
      <c r="I18" s="24" t="str">
        <f>IFERROR(__xludf.DUMMYFUNCTION("""COMPUTED_VALUE"""),"Ciências Exatas e da Terra")</f>
        <v>Ciências Exatas e da Terra</v>
      </c>
    </row>
    <row r="19">
      <c r="A19" s="24" t="str">
        <f>IFERROR(__xludf.DUMMYFUNCTION("""COMPUTED_VALUE"""),"Climatologia Aplicada À Geografia")</f>
        <v>Climatologia Aplicada À Geografia</v>
      </c>
      <c r="B19" s="24" t="str">
        <f>IFERROR(__xludf.DUMMYFUNCTION("""COMPUTED_VALUE"""),"Hermes Alves de Almeida")</f>
        <v>Hermes Alves de Almeida</v>
      </c>
      <c r="C19" s="24" t="str">
        <f>IFERROR(__xludf.DUMMYFUNCTION("""COMPUTED_VALUE"""),"Campina Grande")</f>
        <v>Campina Grande</v>
      </c>
      <c r="D19" s="24" t="str">
        <f>IFERROR(__xludf.DUMMYFUNCTION("""COMPUTED_VALUE"""),"EDUEPB")</f>
        <v>EDUEPB</v>
      </c>
      <c r="E19" s="25">
        <f>IFERROR(__xludf.DUMMYFUNCTION("""COMPUTED_VALUE"""),2016.0)</f>
        <v>2016</v>
      </c>
      <c r="F19" s="24" t="str">
        <f>IFERROR(__xludf.DUMMYFUNCTION("""COMPUTED_VALUE"""),"Climatologia. Geografia. Estudo do clima. Metereologia. Camada de ozônio. Poluição. Temperatura do ar")</f>
        <v>Climatologia. Geografia. Estudo do clima. Metereologia. Camada de ozônio. Poluição. Temperatura do ar</v>
      </c>
      <c r="G19" s="28" t="str">
        <f>IFERROR(__xludf.DUMMYFUNCTION("""COMPUTED_VALUE"""),"9788578793166")</f>
        <v>9788578793166</v>
      </c>
      <c r="H19" s="29" t="str">
        <f>IFERROR(__xludf.DUMMYFUNCTION("""COMPUTED_VALUE"""),"http://eduepb.uepb.edu.br/download/climatologia-aplicada-a-geografia/?wpdmdl=169&amp;amp;masterkey=5af997a99db18")</f>
        <v>http://eduepb.uepb.edu.br/download/climatologia-aplicada-a-geografia/?wpdmdl=169&amp;amp;masterkey=5af997a99db18</v>
      </c>
      <c r="I19" s="24" t="str">
        <f>IFERROR(__xludf.DUMMYFUNCTION("""COMPUTED_VALUE"""),"Ciências Exatas e da Terra")</f>
        <v>Ciências Exatas e da Terra</v>
      </c>
    </row>
    <row r="20">
      <c r="A20" s="24" t="str">
        <f>IFERROR(__xludf.DUMMYFUNCTION("""COMPUTED_VALUE"""),"Curso de pré -cálculo")</f>
        <v>Curso de pré -cálculo</v>
      </c>
      <c r="B20" s="24" t="str">
        <f>IFERROR(__xludf.DUMMYFUNCTION("""COMPUTED_VALUE"""),"Adriano Frutuoso da Silva; Camila Hena Menezes de Oliveira (org.)")</f>
        <v>Adriano Frutuoso da Silva; Camila Hena Menezes de Oliveira (org.)</v>
      </c>
      <c r="C20" s="24" t="str">
        <f>IFERROR(__xludf.DUMMYFUNCTION("""COMPUTED_VALUE"""),"Boa Vista ")</f>
        <v>Boa Vista </v>
      </c>
      <c r="D20" s="24" t="str">
        <f>IFERROR(__xludf.DUMMYFUNCTION("""COMPUTED_VALUE"""),"UFRR")</f>
        <v>UFRR</v>
      </c>
      <c r="E20" s="25">
        <f>IFERROR(__xludf.DUMMYFUNCTION("""COMPUTED_VALUE"""),2019.0)</f>
        <v>2019</v>
      </c>
      <c r="F20" s="24" t="str">
        <f>IFERROR(__xludf.DUMMYFUNCTION("""COMPUTED_VALUE"""),"Matemática; Cálculo; Álgebra")</f>
        <v>Matemática; Cálculo; Álgebra</v>
      </c>
      <c r="G20" s="28" t="str">
        <f>IFERROR(__xludf.DUMMYFUNCTION("""COMPUTED_VALUE"""),"9788582882320")</f>
        <v>9788582882320</v>
      </c>
      <c r="H20" s="29" t="str">
        <f>IFERROR(__xludf.DUMMYFUNCTION("""COMPUTED_VALUE"""),"http://ufrr.br/editora/index.php/editais?download=440")</f>
        <v>http://ufrr.br/editora/index.php/editais?download=440</v>
      </c>
      <c r="I20" s="24" t="str">
        <f>IFERROR(__xludf.DUMMYFUNCTION("""COMPUTED_VALUE"""),"Ciências Exatas e da Terra")</f>
        <v>Ciências Exatas e da Terra</v>
      </c>
    </row>
    <row r="21">
      <c r="A21" s="24" t="str">
        <f>IFERROR(__xludf.DUMMYFUNCTION("""COMPUTED_VALUE"""),"Diálogos com a formação de professores de ciências")</f>
        <v>Diálogos com a formação de professores de ciências</v>
      </c>
      <c r="B21" s="24" t="str">
        <f>IFERROR(__xludf.DUMMYFUNCTION("""COMPUTED_VALUE"""),"Frota, Paulo Rômulo de Oliveira; Dominguini, Lucas")</f>
        <v>Frota, Paulo Rômulo de Oliveira; Dominguini, Lucas</v>
      </c>
      <c r="C21" s="24" t="str">
        <f>IFERROR(__xludf.DUMMYFUNCTION("""COMPUTED_VALUE"""),"Criciúma")</f>
        <v>Criciúma</v>
      </c>
      <c r="D21" s="24" t="str">
        <f>IFERROR(__xludf.DUMMYFUNCTION("""COMPUTED_VALUE"""),"UNESC")</f>
        <v>UNESC</v>
      </c>
      <c r="E21" s="25">
        <f>IFERROR(__xludf.DUMMYFUNCTION("""COMPUTED_VALUE"""),2014.0)</f>
        <v>2014</v>
      </c>
      <c r="F21" s="24" t="str">
        <f>IFERROR(__xludf.DUMMYFUNCTION("""COMPUTED_VALUE"""),"Formação de professores de ciência; Prática de ensino; Didática; Psicologia educacional; Processo ensino-aprendizagem")</f>
        <v>Formação de professores de ciência; Prática de ensino; Didática; Psicologia educacional; Processo ensino-aprendizagem</v>
      </c>
      <c r="G21" s="28" t="str">
        <f>IFERROR(__xludf.DUMMYFUNCTION("""COMPUTED_VALUE"""),"9788584100118")</f>
        <v>9788584100118</v>
      </c>
      <c r="H21" s="29" t="str">
        <f>IFERROR(__xludf.DUMMYFUNCTION("""COMPUTED_VALUE"""),"http://repositorio.unesc.net/handle/1/2638")</f>
        <v>http://repositorio.unesc.net/handle/1/2638</v>
      </c>
      <c r="I21" s="24" t="str">
        <f>IFERROR(__xludf.DUMMYFUNCTION("""COMPUTED_VALUE"""),"Ciências Exatas e da Terra")</f>
        <v>Ciências Exatas e da Terra</v>
      </c>
    </row>
    <row r="22">
      <c r="A22" s="24" t="str">
        <f>IFERROR(__xludf.DUMMYFUNCTION("""COMPUTED_VALUE"""),"Disponibilidade de energia termelétrica a gás natural na Região Centro-Oeste")</f>
        <v>Disponibilidade de energia termelétrica a gás natural na Região Centro-Oeste</v>
      </c>
      <c r="B22" s="24" t="str">
        <f>IFERROR(__xludf.DUMMYFUNCTION("""COMPUTED_VALUE"""),"Eduardo Mirko Valenzuela Turdera")</f>
        <v>Eduardo Mirko Valenzuela Turdera</v>
      </c>
      <c r="C22" s="24" t="str">
        <f>IFERROR(__xludf.DUMMYFUNCTION("""COMPUTED_VALUE"""),"Dourados, MS")</f>
        <v>Dourados, MS</v>
      </c>
      <c r="D22" s="24" t="str">
        <f>IFERROR(__xludf.DUMMYFUNCTION("""COMPUTED_VALUE"""),"Ed. UFGD")</f>
        <v>Ed. UFGD</v>
      </c>
      <c r="E22" s="25">
        <f>IFERROR(__xludf.DUMMYFUNCTION("""COMPUTED_VALUE"""),2009.0)</f>
        <v>2009</v>
      </c>
      <c r="F22" s="24" t="str">
        <f>IFERROR(__xludf.DUMMYFUNCTION("""COMPUTED_VALUE"""),"Gás natural; Gás natural – Centro Oeste; Política energética – Mato Grosso do Sul; Gás natural – Energia termelétrica")</f>
        <v>Gás natural; Gás natural – Centro Oeste; Política energética – Mato Grosso do Sul; Gás natural – Energia termelétrica</v>
      </c>
      <c r="G22" s="28" t="str">
        <f>IFERROR(__xludf.DUMMYFUNCTION("""COMPUTED_VALUE"""),"9788561228477")</f>
        <v>9788561228477</v>
      </c>
      <c r="H22" s="29" t="str">
        <f>IFERROR(__xludf.DUMMYFUNCTION("""COMPUTED_VALUE"""),"http://omp.ufgd.edu.br/omp/index.php/livrosabertos/catalog/view/81/88/334-1")</f>
        <v>http://omp.ufgd.edu.br/omp/index.php/livrosabertos/catalog/view/81/88/334-1</v>
      </c>
      <c r="I22" s="24" t="str">
        <f>IFERROR(__xludf.DUMMYFUNCTION("""COMPUTED_VALUE"""),"Ciências Exatas e da Terra")</f>
        <v>Ciências Exatas e da Terra</v>
      </c>
    </row>
    <row r="23">
      <c r="A23" s="24" t="str">
        <f>IFERROR(__xludf.DUMMYFUNCTION("""COMPUTED_VALUE"""),"Educadoras e Educadores: Matemáticos Brasileiros")</f>
        <v>Educadoras e Educadores: Matemáticos Brasileiros</v>
      </c>
      <c r="B23" s="24" t="str">
        <f>IFERROR(__xludf.DUMMYFUNCTION("""COMPUTED_VALUE"""),"Marger da Conceição Ventura Viana")</f>
        <v>Marger da Conceição Ventura Viana</v>
      </c>
      <c r="C23" s="24" t="str">
        <f>IFERROR(__xludf.DUMMYFUNCTION("""COMPUTED_VALUE"""),"Ouro Preto")</f>
        <v>Ouro Preto</v>
      </c>
      <c r="D23" s="24" t="str">
        <f>IFERROR(__xludf.DUMMYFUNCTION("""COMPUTED_VALUE"""),"UFOP")</f>
        <v>UFOP</v>
      </c>
      <c r="E23" s="25">
        <f>IFERROR(__xludf.DUMMYFUNCTION("""COMPUTED_VALUE"""),2012.0)</f>
        <v>2012</v>
      </c>
      <c r="F23" s="24" t="str">
        <f>IFERROR(__xludf.DUMMYFUNCTION("""COMPUTED_VALUE"""),"Matemática-estudo e ensino. Educadores-Brasil")</f>
        <v>Matemática-estudo e ensino. Educadores-Brasil</v>
      </c>
      <c r="G23" s="28" t="str">
        <f>IFERROR(__xludf.DUMMYFUNCTION("""COMPUTED_VALUE"""),"9788598601519")</f>
        <v>9788598601519</v>
      </c>
      <c r="H23" s="29" t="str">
        <f>IFERROR(__xludf.DUMMYFUNCTION("""COMPUTED_VALUE"""),"https://www.editora.ufop.br/index.php/editora/catalog/view/38/26/89-1")</f>
        <v>https://www.editora.ufop.br/index.php/editora/catalog/view/38/26/89-1</v>
      </c>
      <c r="I23" s="24" t="str">
        <f>IFERROR(__xludf.DUMMYFUNCTION("""COMPUTED_VALUE"""),"Ciências Exatas e da Terra")</f>
        <v>Ciências Exatas e da Terra</v>
      </c>
    </row>
    <row r="24">
      <c r="A24" s="24" t="str">
        <f>IFERROR(__xludf.DUMMYFUNCTION("""COMPUTED_VALUE"""),"Elementos de Cálculo Diferencial e Integral")</f>
        <v>Elementos de Cálculo Diferencial e Integral</v>
      </c>
      <c r="B24" s="24" t="str">
        <f>IFERROR(__xludf.DUMMYFUNCTION("""COMPUTED_VALUE"""),"João Luiz Martins; Helena Martins")</f>
        <v>João Luiz Martins; Helena Martins</v>
      </c>
      <c r="C24" s="24" t="str">
        <f>IFERROR(__xludf.DUMMYFUNCTION("""COMPUTED_VALUE"""),"Ouro Preto")</f>
        <v>Ouro Preto</v>
      </c>
      <c r="D24" s="24" t="str">
        <f>IFERROR(__xludf.DUMMYFUNCTION("""COMPUTED_VALUE"""),"UFOP")</f>
        <v>UFOP</v>
      </c>
      <c r="E24" s="25">
        <f>IFERROR(__xludf.DUMMYFUNCTION("""COMPUTED_VALUE"""),2014.0)</f>
        <v>2014</v>
      </c>
      <c r="F24" s="24" t="str">
        <f>IFERROR(__xludf.DUMMYFUNCTION("""COMPUTED_VALUE"""),"Cálculo. Cálculo diferencial. Cálculo integral. Número - conceito")</f>
        <v>Cálculo. Cálculo diferencial. Cálculo integral. Número - conceito</v>
      </c>
      <c r="G24" s="28" t="str">
        <f>IFERROR(__xludf.DUMMYFUNCTION("""COMPUTED_VALUE"""),"9788528803365")</f>
        <v>9788528803365</v>
      </c>
      <c r="H24" s="29" t="str">
        <f>IFERROR(__xludf.DUMMYFUNCTION("""COMPUTED_VALUE"""),"https://www.editora.ufop.br/index.php/editora/catalog/view/49/34/114-1")</f>
        <v>https://www.editora.ufop.br/index.php/editora/catalog/view/49/34/114-1</v>
      </c>
      <c r="I24" s="24" t="str">
        <f>IFERROR(__xludf.DUMMYFUNCTION("""COMPUTED_VALUE"""),"Ciências Exatas e da Terra")</f>
        <v>Ciências Exatas e da Terra</v>
      </c>
    </row>
    <row r="25">
      <c r="A25" s="24" t="str">
        <f>IFERROR(__xludf.DUMMYFUNCTION("""COMPUTED_VALUE"""),"Eletropolimerização e Caracterização de Polianilina com incorporação de Nanoparticulas de TiO2 a diferentes pHs")</f>
        <v>Eletropolimerização e Caracterização de Polianilina com incorporação de Nanoparticulas de TiO2 a diferentes pHs</v>
      </c>
      <c r="B25" s="24" t="str">
        <f>IFERROR(__xludf.DUMMYFUNCTION("""COMPUTED_VALUE"""),"Valfrido Furtado Leite Filho; ")</f>
        <v>Valfrido Furtado Leite Filho; </v>
      </c>
      <c r="C25" s="24" t="str">
        <f>IFERROR(__xludf.DUMMYFUNCTION("""COMPUTED_VALUE"""),"Ouro Preto")</f>
        <v>Ouro Preto</v>
      </c>
      <c r="D25" s="24" t="str">
        <f>IFERROR(__xludf.DUMMYFUNCTION("""COMPUTED_VALUE"""),"UFOP")</f>
        <v>UFOP</v>
      </c>
      <c r="E25" s="25">
        <f>IFERROR(__xludf.DUMMYFUNCTION("""COMPUTED_VALUE"""),2018.0)</f>
        <v>2018</v>
      </c>
      <c r="F25" s="24" t="str">
        <f>IFERROR(__xludf.DUMMYFUNCTION("""COMPUTED_VALUE"""),"Polímeros. Voltametria. Eletroquímica. Dióxido de titânio ")</f>
        <v>Polímeros. Voltametria. Eletroquímica. Dióxido de titânio </v>
      </c>
      <c r="G25" s="28" t="str">
        <f>IFERROR(__xludf.DUMMYFUNCTION("""COMPUTED_VALUE"""),"9788528803617")</f>
        <v>9788528803617</v>
      </c>
      <c r="H25" s="29" t="str">
        <f>IFERROR(__xludf.DUMMYFUNCTION("""COMPUTED_VALUE"""),"https://www.editora.ufop.br/index.php/editora/catalog/view/147/117/384-1")</f>
        <v>https://www.editora.ufop.br/index.php/editora/catalog/view/147/117/384-1</v>
      </c>
      <c r="I25" s="24" t="str">
        <f>IFERROR(__xludf.DUMMYFUNCTION("""COMPUTED_VALUE"""),"Ciências Exatas e da Terra")</f>
        <v>Ciências Exatas e da Terra</v>
      </c>
    </row>
    <row r="26">
      <c r="A26" s="24" t="str">
        <f>IFERROR(__xludf.DUMMYFUNCTION("""COMPUTED_VALUE"""),"Ensino de Física: experiências, pesquisas e reflexões ")</f>
        <v>Ensino de Física: experiências, pesquisas e reflexões </v>
      </c>
      <c r="B26" s="24" t="str">
        <f>IFERROR(__xludf.DUMMYFUNCTION("""COMPUTED_VALUE"""),"Alexandre Leite dos Santos Silva; Haroldo Reis Alves de Macedo; Fábio Soares da Paz; Pedro José Feitosa Alves Júnior (org.)")</f>
        <v>Alexandre Leite dos Santos Silva; Haroldo Reis Alves de Macedo; Fábio Soares da Paz; Pedro José Feitosa Alves Júnior (org.)</v>
      </c>
      <c r="C26" s="24" t="str">
        <f>IFERROR(__xludf.DUMMYFUNCTION("""COMPUTED_VALUE"""),"Teresina")</f>
        <v>Teresina</v>
      </c>
      <c r="D26" s="24" t="str">
        <f>IFERROR(__xludf.DUMMYFUNCTION("""COMPUTED_VALUE"""),"EDUFPI")</f>
        <v>EDUFPI</v>
      </c>
      <c r="E26" s="25">
        <f>IFERROR(__xludf.DUMMYFUNCTION("""COMPUTED_VALUE"""),2019.0)</f>
        <v>2019</v>
      </c>
      <c r="F26" s="24" t="str">
        <f>IFERROR(__xludf.DUMMYFUNCTION("""COMPUTED_VALUE"""),"Ensino de Física; Professores de Física-Formação;Teoria; Heliocêntrica")</f>
        <v>Ensino de Física; Professores de Física-Formação;Teoria; Heliocêntrica</v>
      </c>
      <c r="G26" s="28" t="str">
        <f>IFERROR(__xludf.DUMMYFUNCTION("""COMPUTED_VALUE"""),"9788550904443")</f>
        <v>9788550904443</v>
      </c>
      <c r="H26" s="29" t="str">
        <f>IFERROR(__xludf.DUMMYFUNCTION("""COMPUTED_VALUE"""),"https://www.ufpi.br/arquivos_download/arquivos/LIVRO_ENSINO_DE_F%C3%8DSICA_EBOOK20190909103253.pdf")</f>
        <v>https://www.ufpi.br/arquivos_download/arquivos/LIVRO_ENSINO_DE_F%C3%8DSICA_EBOOK20190909103253.pdf</v>
      </c>
      <c r="I26" s="24" t="str">
        <f>IFERROR(__xludf.DUMMYFUNCTION("""COMPUTED_VALUE"""),"Ciências Exatas e da Terra")</f>
        <v>Ciências Exatas e da Terra</v>
      </c>
    </row>
    <row r="27">
      <c r="A27" s="24" t="str">
        <f>IFERROR(__xludf.DUMMYFUNCTION("""COMPUTED_VALUE"""),"Estrutura de dados lineares básicas - Abordagem prática, com implementações em C e Java.")</f>
        <v>Estrutura de dados lineares básicas - Abordagem prática, com implementações em C e Java.</v>
      </c>
      <c r="B27" s="24" t="str">
        <f>IFERROR(__xludf.DUMMYFUNCTION("""COMPUTED_VALUE"""),"Valéria Maria Bezerra Cavalcanti, Nadja da Nóbrega Rodrigues")</f>
        <v>Valéria Maria Bezerra Cavalcanti, Nadja da Nóbrega Rodrigues</v>
      </c>
      <c r="C27" s="24" t="str">
        <f>IFERROR(__xludf.DUMMYFUNCTION("""COMPUTED_VALUE"""),"João Pessoa")</f>
        <v>João Pessoa</v>
      </c>
      <c r="D27" s="24" t="str">
        <f>IFERROR(__xludf.DUMMYFUNCTION("""COMPUTED_VALUE"""),"Editora IFPB")</f>
        <v>Editora IFPB</v>
      </c>
      <c r="E27" s="25">
        <f>IFERROR(__xludf.DUMMYFUNCTION("""COMPUTED_VALUE"""),2015.0)</f>
        <v>2015</v>
      </c>
      <c r="F27" s="24" t="str">
        <f>IFERROR(__xludf.DUMMYFUNCTION("""COMPUTED_VALUE"""),"Ciência da computação; Estrutura de dados; Programação de computador; Linguagem de programação")</f>
        <v>Ciência da computação; Estrutura de dados; Programação de computador; Linguagem de programação</v>
      </c>
      <c r="G27" s="28" t="str">
        <f>IFERROR(__xludf.DUMMYFUNCTION("""COMPUTED_VALUE"""),"9788563406613")</f>
        <v>9788563406613</v>
      </c>
      <c r="H27" s="29" t="str">
        <f>IFERROR(__xludf.DUMMYFUNCTION("""COMPUTED_VALUE"""),"http://editora.ifpb.edu.br/index.php/ifpb/catalog/book/8")</f>
        <v>http://editora.ifpb.edu.br/index.php/ifpb/catalog/book/8</v>
      </c>
      <c r="I27" s="24" t="str">
        <f>IFERROR(__xludf.DUMMYFUNCTION("""COMPUTED_VALUE"""),"Ciências Exatas e da Terra")</f>
        <v>Ciências Exatas e da Terra</v>
      </c>
    </row>
    <row r="28">
      <c r="A28" s="24" t="str">
        <f>IFERROR(__xludf.DUMMYFUNCTION("""COMPUTED_VALUE"""),"Estudo dos Principais Pressupostos de Análise Discriminante Simples com aplicação em R")</f>
        <v>Estudo dos Principais Pressupostos de Análise Discriminante Simples com aplicação em R</v>
      </c>
      <c r="B28" s="24" t="str">
        <f>IFERROR(__xludf.DUMMYFUNCTION("""COMPUTED_VALUE"""),"Edwirde Luiz Silva Camêlo; Ramón Gutiérrez Sánchez; Andrés González Carmona; Dalila Camêlo Aguiar")</f>
        <v>Edwirde Luiz Silva Camêlo; Ramón Gutiérrez Sánchez; Andrés González Carmona; Dalila Camêlo Aguiar</v>
      </c>
      <c r="C28" s="24" t="str">
        <f>IFERROR(__xludf.DUMMYFUNCTION("""COMPUTED_VALUE"""),"Campina Grande")</f>
        <v>Campina Grande</v>
      </c>
      <c r="D28" s="24" t="str">
        <f>IFERROR(__xludf.DUMMYFUNCTION("""COMPUTED_VALUE"""),"EDUEPB")</f>
        <v>EDUEPB</v>
      </c>
      <c r="E28" s="25">
        <f>IFERROR(__xludf.DUMMYFUNCTION("""COMPUTED_VALUE"""),2020.0)</f>
        <v>2020</v>
      </c>
      <c r="F28" s="24" t="str">
        <f>IFERROR(__xludf.DUMMYFUNCTION("""COMPUTED_VALUE"""),"Análise discriminante simples. Pressupostos básico. Aplicação dos conceitos. Aplicações em R")</f>
        <v>Análise discriminante simples. Pressupostos básico. Aplicação dos conceitos. Aplicações em R</v>
      </c>
      <c r="G28" s="28" t="str">
        <f>IFERROR(__xludf.DUMMYFUNCTION("""COMPUTED_VALUE"""),"9788578796006")</f>
        <v>9788578796006</v>
      </c>
      <c r="H28" s="29" t="str">
        <f>IFERROR(__xludf.DUMMYFUNCTION("""COMPUTED_VALUE"""),"http://eduepb.uepb.edu.br/download/estudos-dos-principais-pressupostos-de-analise-discriminante-simples-com-aplicacao-em-r/?wpdmdl=1138&amp;#038;masterkey=5f4ea89380232")</f>
        <v>http://eduepb.uepb.edu.br/download/estudos-dos-principais-pressupostos-de-analise-discriminante-simples-com-aplicacao-em-r/?wpdmdl=1138&amp;#038;masterkey=5f4ea89380232</v>
      </c>
      <c r="I28" s="24" t="str">
        <f>IFERROR(__xludf.DUMMYFUNCTION("""COMPUTED_VALUE"""),"Ciências Exatas e da Terra")</f>
        <v>Ciências Exatas e da Terra</v>
      </c>
    </row>
    <row r="29">
      <c r="A29" s="24" t="str">
        <f>IFERROR(__xludf.DUMMYFUNCTION("""COMPUTED_VALUE"""),"Etnomatemática – novos desafios teóricos e pedagógicos")</f>
        <v>Etnomatemática – novos desafios teóricos e pedagógicos</v>
      </c>
      <c r="B29" s="24" t="str">
        <f>IFERROR(__xludf.DUMMYFUNCTION("""COMPUTED_VALUE"""),"Maria Cecilia de Castello Branco Fantinato (org.)")</f>
        <v>Maria Cecilia de Castello Branco Fantinato (org.)</v>
      </c>
      <c r="C29" s="24" t="str">
        <f>IFERROR(__xludf.DUMMYFUNCTION("""COMPUTED_VALUE"""),"Niterói, RJ")</f>
        <v>Niterói, RJ</v>
      </c>
      <c r="D29" s="24" t="str">
        <f>IFERROR(__xludf.DUMMYFUNCTION("""COMPUTED_VALUE"""),"EDUFF")</f>
        <v>EDUFF</v>
      </c>
      <c r="E29" s="25">
        <f>IFERROR(__xludf.DUMMYFUNCTION("""COMPUTED_VALUE"""),2009.0)</f>
        <v>2009</v>
      </c>
      <c r="F29" s="24" t="str">
        <f>IFERROR(__xludf.DUMMYFUNCTION("""COMPUTED_VALUE"""),"Matemática; Pesquisas")</f>
        <v>Matemática; Pesquisas</v>
      </c>
      <c r="G29" s="28" t="str">
        <f>IFERROR(__xludf.DUMMYFUNCTION("""COMPUTED_VALUE"""),"9788522805341")</f>
        <v>9788522805341</v>
      </c>
      <c r="H29" s="29" t="str">
        <f>IFERROR(__xludf.DUMMYFUNCTION("""COMPUTED_VALUE"""),"http://www.eduff.uff.br/ebooks/Etnomatematica.pdf")</f>
        <v>http://www.eduff.uff.br/ebooks/Etnomatematica.pdf</v>
      </c>
      <c r="I29" s="24" t="str">
        <f>IFERROR(__xludf.DUMMYFUNCTION("""COMPUTED_VALUE"""),"Ciências Exatas e da Terra")</f>
        <v>Ciências Exatas e da Terra</v>
      </c>
    </row>
    <row r="30">
      <c r="A30" s="24" t="str">
        <f>IFERROR(__xludf.DUMMYFUNCTION("""COMPUTED_VALUE"""),"Feiras de matemática: Percursos, Reflexões e Compromisso Social")</f>
        <v>Feiras de matemática: Percursos, Reflexões e Compromisso Social</v>
      </c>
      <c r="B30" s="24" t="str">
        <f>IFERROR(__xludf.DUMMYFUNCTION("""COMPUTED_VALUE"""),"Solange Aparecida de Oliveira Hoeller, Fátima Peres Zago de Oliveira, Paula Andrea Grawieski Civiero, Ruy Piehowiak, Morgana Scheller")</f>
        <v>Solange Aparecida de Oliveira Hoeller, Fátima Peres Zago de Oliveira, Paula Andrea Grawieski Civiero, Ruy Piehowiak, Morgana Scheller</v>
      </c>
      <c r="C30" s="24" t="str">
        <f>IFERROR(__xludf.DUMMYFUNCTION("""COMPUTED_VALUE"""),"Blumenau")</f>
        <v>Blumenau</v>
      </c>
      <c r="D30" s="24" t="str">
        <f>IFERROR(__xludf.DUMMYFUNCTION("""COMPUTED_VALUE"""),"Instituto Federal Catarinense")</f>
        <v>Instituto Federal Catarinense</v>
      </c>
      <c r="E30" s="25">
        <f>IFERROR(__xludf.DUMMYFUNCTION("""COMPUTED_VALUE"""),2017.0)</f>
        <v>2017</v>
      </c>
      <c r="F30" s="24" t="str">
        <f>IFERROR(__xludf.DUMMYFUNCTION("""COMPUTED_VALUE"""),"Matemática - Ensino. Evento Acadêmico")</f>
        <v>Matemática - Ensino. Evento Acadêmico</v>
      </c>
      <c r="G30" s="26"/>
      <c r="H30" s="29" t="str">
        <f>IFERROR(__xludf.DUMMYFUNCTION("""COMPUTED_VALUE"""),"https://editora.ifc.edu.br/2017/12/21/feiras-de-matematica-percursos-reflexoes-e-compromisso-social/")</f>
        <v>https://editora.ifc.edu.br/2017/12/21/feiras-de-matematica-percursos-reflexoes-e-compromisso-social/</v>
      </c>
      <c r="I30" s="24" t="str">
        <f>IFERROR(__xludf.DUMMYFUNCTION("""COMPUTED_VALUE"""),"Ciências Exatas e da Terra")</f>
        <v>Ciências Exatas e da Terra</v>
      </c>
    </row>
    <row r="31">
      <c r="A31" s="24" t="str">
        <f>IFERROR(__xludf.DUMMYFUNCTION("""COMPUTED_VALUE"""),"Física Moderna para Ensino Médio")</f>
        <v>Física Moderna para Ensino Médio</v>
      </c>
      <c r="B31" s="24" t="str">
        <f>IFERROR(__xludf.DUMMYFUNCTION("""COMPUTED_VALUE"""),"Gustavo Elia Assad")</f>
        <v>Gustavo Elia Assad</v>
      </c>
      <c r="C31" s="24" t="str">
        <f>IFERROR(__xludf.DUMMYFUNCTION("""COMPUTED_VALUE"""),"João Pessoa")</f>
        <v>João Pessoa</v>
      </c>
      <c r="D31" s="24" t="str">
        <f>IFERROR(__xludf.DUMMYFUNCTION("""COMPUTED_VALUE"""),"Editora IFPB")</f>
        <v>Editora IFPB</v>
      </c>
      <c r="E31" s="25">
        <f>IFERROR(__xludf.DUMMYFUNCTION("""COMPUTED_VALUE"""),2015.0)</f>
        <v>2015</v>
      </c>
      <c r="F31" s="24" t="str">
        <f>IFERROR(__xludf.DUMMYFUNCTION("""COMPUTED_VALUE"""),"Física moderna; Relatividade especial; Mecânica quântica; Efeito fotoelétrico")</f>
        <v>Física moderna; Relatividade especial; Mecânica quântica; Efeito fotoelétrico</v>
      </c>
      <c r="G31" s="28" t="str">
        <f>IFERROR(__xludf.DUMMYFUNCTION("""COMPUTED_VALUE"""),"9788563406545")</f>
        <v>9788563406545</v>
      </c>
      <c r="H31" s="29" t="str">
        <f>IFERROR(__xludf.DUMMYFUNCTION("""COMPUTED_VALUE"""),"http://editora.ifpb.edu.br/index.php/ifpb/catalog/book/88")</f>
        <v>http://editora.ifpb.edu.br/index.php/ifpb/catalog/book/88</v>
      </c>
      <c r="I31" s="24" t="str">
        <f>IFERROR(__xludf.DUMMYFUNCTION("""COMPUTED_VALUE"""),"Ciências Exatas e da Terra")</f>
        <v>Ciências Exatas e da Terra</v>
      </c>
    </row>
    <row r="32">
      <c r="A32" s="24" t="str">
        <f>IFERROR(__xludf.DUMMYFUNCTION("""COMPUTED_VALUE"""),"Físico-química I: termodinâmica química e equilíbrio químico")</f>
        <v>Físico-química I: termodinâmica química e equilíbrio químico</v>
      </c>
      <c r="B32" s="24" t="str">
        <f>IFERROR(__xludf.DUMMYFUNCTION("""COMPUTED_VALUE"""),"Pilla, Luiz")</f>
        <v>Pilla, Luiz</v>
      </c>
      <c r="C32" s="24" t="str">
        <f>IFERROR(__xludf.DUMMYFUNCTION("""COMPUTED_VALUE"""),"Porto Alegre")</f>
        <v>Porto Alegre</v>
      </c>
      <c r="D32" s="24" t="str">
        <f>IFERROR(__xludf.DUMMYFUNCTION("""COMPUTED_VALUE"""),"UFRGS")</f>
        <v>UFRGS</v>
      </c>
      <c r="E32" s="25">
        <f>IFERROR(__xludf.DUMMYFUNCTION("""COMPUTED_VALUE"""),2006.0)</f>
        <v>2006</v>
      </c>
      <c r="F32" s="24" t="str">
        <f>IFERROR(__xludf.DUMMYFUNCTION("""COMPUTED_VALUE"""),"Equilíbrio químico; Físico-química; Físico-química : Ensino superior; Gases; Termodinâmica química")</f>
        <v>Equilíbrio químico; Físico-química; Físico-química : Ensino superior; Gases; Termodinâmica química</v>
      </c>
      <c r="G32" s="28" t="str">
        <f>IFERROR(__xludf.DUMMYFUNCTION("""COMPUTED_VALUE"""),"9788570258762")</f>
        <v>9788570258762</v>
      </c>
      <c r="H32" s="29" t="str">
        <f>IFERROR(__xludf.DUMMYFUNCTION("""COMPUTED_VALUE"""),"http://hdl.handle.net/10183/213120")</f>
        <v>http://hdl.handle.net/10183/213120</v>
      </c>
      <c r="I32" s="24" t="str">
        <f>IFERROR(__xludf.DUMMYFUNCTION("""COMPUTED_VALUE"""),"Ciências Exatas e da Terra")</f>
        <v>Ciências Exatas e da Terra</v>
      </c>
    </row>
    <row r="33">
      <c r="A33" s="24" t="str">
        <f>IFERROR(__xludf.DUMMYFUNCTION("""COMPUTED_VALUE"""),"Formação de conceitos matemáticos: propostas de ensino aos anos iniciais e finais do ensino fundamental")</f>
        <v>Formação de conceitos matemáticos: propostas de ensino aos anos iniciais e finais do ensino fundamental</v>
      </c>
      <c r="B33" s="24" t="str">
        <f>IFERROR(__xludf.DUMMYFUNCTION("""COMPUTED_VALUE"""),"Marcelo Carlos de Proença (org.)")</f>
        <v>Marcelo Carlos de Proença (org.)</v>
      </c>
      <c r="C33" s="24" t="str">
        <f>IFERROR(__xludf.DUMMYFUNCTION("""COMPUTED_VALUE"""),"Campo Mourão, PR")</f>
        <v>Campo Mourão, PR</v>
      </c>
      <c r="D33" s="24" t="str">
        <f>IFERROR(__xludf.DUMMYFUNCTION("""COMPUTED_VALUE"""),"Editora Fecilcam")</f>
        <v>Editora Fecilcam</v>
      </c>
      <c r="E33" s="25">
        <f>IFERROR(__xludf.DUMMYFUNCTION("""COMPUTED_VALUE"""),2020.0)</f>
        <v>2020</v>
      </c>
      <c r="F33" s="24" t="str">
        <f>IFERROR(__xludf.DUMMYFUNCTION("""COMPUTED_VALUE"""),"Matemática. Ensino fundamental. Educação. Séries iniciais")</f>
        <v>Matemática. Ensino fundamental. Educação. Séries iniciais</v>
      </c>
      <c r="G33" s="28" t="str">
        <f>IFERROR(__xludf.DUMMYFUNCTION("""COMPUTED_VALUE"""),"9786588090008")</f>
        <v>9786588090008</v>
      </c>
      <c r="H33" s="29" t="str">
        <f>IFERROR(__xludf.DUMMYFUNCTION("""COMPUTED_VALUE"""),"http://campomourao.unespar.edu.br/editora/obras-digitais/formacao-de-conceitos-matematicos-propostas-de-ensino-aos-anos-iniciais-e-finais-do-ensino-fundamental")</f>
        <v>http://campomourao.unespar.edu.br/editora/obras-digitais/formacao-de-conceitos-matematicos-propostas-de-ensino-aos-anos-iniciais-e-finais-do-ensino-fundamental</v>
      </c>
      <c r="I33" s="24" t="str">
        <f>IFERROR(__xludf.DUMMYFUNCTION("""COMPUTED_VALUE"""),"Ciências Exatas e da Terra")</f>
        <v>Ciências Exatas e da Terra</v>
      </c>
    </row>
    <row r="34">
      <c r="A34" s="24" t="str">
        <f>IFERROR(__xludf.DUMMYFUNCTION("""COMPUTED_VALUE"""),"Fósseis do Paraná")</f>
        <v>Fósseis do Paraná</v>
      </c>
      <c r="B34" s="24" t="str">
        <f>IFERROR(__xludf.DUMMYFUNCTION("""COMPUTED_VALUE"""),"Sedor, Fernando A.")</f>
        <v>Sedor, Fernando A.</v>
      </c>
      <c r="C34" s="24" t="str">
        <f>IFERROR(__xludf.DUMMYFUNCTION("""COMPUTED_VALUE"""),"Curitiba")</f>
        <v>Curitiba</v>
      </c>
      <c r="D34" s="24" t="str">
        <f>IFERROR(__xludf.DUMMYFUNCTION("""COMPUTED_VALUE"""),"Museu de Ciências Naturais")</f>
        <v>Museu de Ciências Naturais</v>
      </c>
      <c r="E34" s="25">
        <f>IFERROR(__xludf.DUMMYFUNCTION("""COMPUTED_VALUE"""),2014.0)</f>
        <v>2014</v>
      </c>
      <c r="F34" s="24" t="str">
        <f>IFERROR(__xludf.DUMMYFUNCTION("""COMPUTED_VALUE"""),"Fósseis - Paraná; Paleontologia - Paraná")</f>
        <v>Fósseis - Paraná; Paleontologia - Paraná</v>
      </c>
      <c r="G34" s="28" t="str">
        <f>IFERROR(__xludf.DUMMYFUNCTION("""COMPUTED_VALUE"""),"9788566631142")</f>
        <v>9788566631142</v>
      </c>
      <c r="H34" s="29" t="str">
        <f>IFERROR(__xludf.DUMMYFUNCTION("""COMPUTED_VALUE"""),"https://hdl.handle.net/1884/45931")</f>
        <v>https://hdl.handle.net/1884/45931</v>
      </c>
      <c r="I34" s="24" t="str">
        <f>IFERROR(__xludf.DUMMYFUNCTION("""COMPUTED_VALUE"""),"Ciências Exatas e da Terra")</f>
        <v>Ciências Exatas e da Terra</v>
      </c>
    </row>
    <row r="35">
      <c r="A35" s="24" t="str">
        <f>IFERROR(__xludf.DUMMYFUNCTION("""COMPUTED_VALUE"""),"Fundamentos básicos de espeleoturismo")</f>
        <v>Fundamentos básicos de espeleoturismo</v>
      </c>
      <c r="B35" s="24" t="str">
        <f>IFERROR(__xludf.DUMMYFUNCTION("""COMPUTED_VALUE"""),"Heros Augusto Santos Lobo")</f>
        <v>Heros Augusto Santos Lobo</v>
      </c>
      <c r="C35" s="24" t="str">
        <f>IFERROR(__xludf.DUMMYFUNCTION("""COMPUTED_VALUE"""),"Dourados, MS")</f>
        <v>Dourados, MS</v>
      </c>
      <c r="D35" s="24" t="str">
        <f>IFERROR(__xludf.DUMMYFUNCTION("""COMPUTED_VALUE"""),"Editora UEMS")</f>
        <v>Editora UEMS</v>
      </c>
      <c r="E35" s="25">
        <f>IFERROR(__xludf.DUMMYFUNCTION("""COMPUTED_VALUE"""),2014.0)</f>
        <v>2014</v>
      </c>
      <c r="F35" s="24" t="str">
        <f>IFERROR(__xludf.DUMMYFUNCTION("""COMPUTED_VALUE"""),"Ambiente Subterrâneo;Patrimônio Espeleologico; Cavidades Naturais")</f>
        <v>Ambiente Subterrâneo;Patrimônio Espeleologico; Cavidades Naturais</v>
      </c>
      <c r="G35" s="28" t="str">
        <f>IFERROR(__xludf.DUMMYFUNCTION("""COMPUTED_VALUE"""),"9788599880548")</f>
        <v>9788599880548</v>
      </c>
      <c r="H35" s="29" t="str">
        <f>IFERROR(__xludf.DUMMYFUNCTION("""COMPUTED_VALUE"""),"http://www.uems.br/assets/uploads/editora/arquivos/2_2016-03-11_14-56-21.pdf")</f>
        <v>http://www.uems.br/assets/uploads/editora/arquivos/2_2016-03-11_14-56-21.pdf</v>
      </c>
      <c r="I35" s="24" t="str">
        <f>IFERROR(__xludf.DUMMYFUNCTION("""COMPUTED_VALUE"""),"Ciências Exatas e da Terra")</f>
        <v>Ciências Exatas e da Terra</v>
      </c>
    </row>
    <row r="36">
      <c r="A36" s="24" t="str">
        <f>IFERROR(__xludf.DUMMYFUNCTION("""COMPUTED_VALUE"""),"Fundamentos de Estratigrafia Moderna")</f>
        <v>Fundamentos de Estratigrafia Moderna</v>
      </c>
      <c r="B36" s="24" t="str">
        <f>IFERROR(__xludf.DUMMYFUNCTION("""COMPUTED_VALUE"""),"Jorge C. Della Fávera")</f>
        <v>Jorge C. Della Fávera</v>
      </c>
      <c r="C36" s="24" t="str">
        <f>IFERROR(__xludf.DUMMYFUNCTION("""COMPUTED_VALUE"""),"Rio de Janeiro")</f>
        <v>Rio de Janeiro</v>
      </c>
      <c r="D36" s="24" t="str">
        <f>IFERROR(__xludf.DUMMYFUNCTION("""COMPUTED_VALUE"""),"EdUERJ")</f>
        <v>EdUERJ</v>
      </c>
      <c r="E36" s="25">
        <f>IFERROR(__xludf.DUMMYFUNCTION("""COMPUTED_VALUE"""),2001.0)</f>
        <v>2001</v>
      </c>
      <c r="F36" s="24" t="str">
        <f>IFERROR(__xludf.DUMMYFUNCTION("""COMPUTED_VALUE"""),"Estratigrafia; Geologia Estratigrafica; Geologia")</f>
        <v>Estratigrafia; Geologia Estratigrafica; Geologia</v>
      </c>
      <c r="G36" s="28" t="str">
        <f>IFERROR(__xludf.DUMMYFUNCTION("""COMPUTED_VALUE"""),"8575110012")</f>
        <v>8575110012</v>
      </c>
      <c r="H36" s="29" t="str">
        <f>IFERROR(__xludf.DUMMYFUNCTION("""COMPUTED_VALUE"""),"https://www.eduerj.com/eng/?product=fundamentos-de-estratigrafia-moderna")</f>
        <v>https://www.eduerj.com/eng/?product=fundamentos-de-estratigrafia-moderna</v>
      </c>
      <c r="I36" s="24" t="str">
        <f>IFERROR(__xludf.DUMMYFUNCTION("""COMPUTED_VALUE"""),"Ciências Exatas e da Terra")</f>
        <v>Ciências Exatas e da Terra</v>
      </c>
    </row>
    <row r="37">
      <c r="A37" s="24" t="str">
        <f>IFERROR(__xludf.DUMMYFUNCTION("""COMPUTED_VALUE"""),"Geografia Física e as Mudanças Globais")</f>
        <v>Geografia Física e as Mudanças Globais</v>
      </c>
      <c r="B37" s="24" t="str">
        <f>IFERROR(__xludf.DUMMYFUNCTION("""COMPUTED_VALUE"""),"Lidriana de Souza Pinheiro ; Adryane Gorayeb; (Organizadores)")</f>
        <v>Lidriana de Souza Pinheiro ; Adryane Gorayeb; (Organizadores)</v>
      </c>
      <c r="C37" s="24" t="str">
        <f>IFERROR(__xludf.DUMMYFUNCTION("""COMPUTED_VALUE"""),"Fortaleza, CE")</f>
        <v>Fortaleza, CE</v>
      </c>
      <c r="D37" s="24" t="str">
        <f>IFERROR(__xludf.DUMMYFUNCTION("""COMPUTED_VALUE"""),"Edições UFC")</f>
        <v>Edições UFC</v>
      </c>
      <c r="E37" s="25">
        <f>IFERROR(__xludf.DUMMYFUNCTION("""COMPUTED_VALUE"""),2019.0)</f>
        <v>2019</v>
      </c>
      <c r="F37" s="24" t="str">
        <f>IFERROR(__xludf.DUMMYFUNCTION("""COMPUTED_VALUE"""),"Geografia. Climatologia. Mudanças globais")</f>
        <v>Geografia. Climatologia. Mudanças globais</v>
      </c>
      <c r="G37" s="28" t="str">
        <f>IFERROR(__xludf.DUMMYFUNCTION("""COMPUTED_VALUE"""),"9788572827782")</f>
        <v>9788572827782</v>
      </c>
      <c r="H37" s="29" t="str">
        <f>IFERROR(__xludf.DUMMYFUNCTION("""COMPUTED_VALUE"""),"http://www.editora.ufc.br/catalogo/28-geografia/982-geografia-fisica-e-as-mudancas-globais")</f>
        <v>http://www.editora.ufc.br/catalogo/28-geografia/982-geografia-fisica-e-as-mudancas-globais</v>
      </c>
      <c r="I37" s="24" t="str">
        <f>IFERROR(__xludf.DUMMYFUNCTION("""COMPUTED_VALUE"""),"Ciências Exatas e da Terra")</f>
        <v>Ciências Exatas e da Terra</v>
      </c>
    </row>
    <row r="38">
      <c r="A38" s="24" t="str">
        <f>IFERROR(__xludf.DUMMYFUNCTION("""COMPUTED_VALUE"""),"GEOPROCESSAMENTO APLICADO: Contexto multidisciplinar")</f>
        <v>GEOPROCESSAMENTO APLICADO: Contexto multidisciplinar</v>
      </c>
      <c r="B38" s="24" t="str">
        <f>IFERROR(__xludf.DUMMYFUNCTION("""COMPUTED_VALUE"""),"organizado por Ridelson Farias de Sousa e Ermano Cavalcante Falcão")</f>
        <v>organizado por Ridelson Farias de Sousa e Ermano Cavalcante Falcão</v>
      </c>
      <c r="C38" s="24" t="str">
        <f>IFERROR(__xludf.DUMMYFUNCTION("""COMPUTED_VALUE"""),"João Pessoa")</f>
        <v>João Pessoa</v>
      </c>
      <c r="D38" s="24" t="str">
        <f>IFERROR(__xludf.DUMMYFUNCTION("""COMPUTED_VALUE"""),"Editora IFPB")</f>
        <v>Editora IFPB</v>
      </c>
      <c r="E38" s="25">
        <f>IFERROR(__xludf.DUMMYFUNCTION("""COMPUTED_VALUE"""),2017.0)</f>
        <v>2017</v>
      </c>
      <c r="F38" s="24" t="str">
        <f>IFERROR(__xludf.DUMMYFUNCTION("""COMPUTED_VALUE"""),"Geoprocessamento; Geodésia; Geotecnologia; Ocupação do Solo; Mapeamento de áreas verdes")</f>
        <v>Geoprocessamento; Geodésia; Geotecnologia; Ocupação do Solo; Mapeamento de áreas verdes</v>
      </c>
      <c r="G38" s="28" t="str">
        <f>IFERROR(__xludf.DUMMYFUNCTION("""COMPUTED_VALUE"""),"9788563406897")</f>
        <v>9788563406897</v>
      </c>
      <c r="H38" s="29" t="str">
        <f>IFERROR(__xludf.DUMMYFUNCTION("""COMPUTED_VALUE"""),"http://editora.ifpb.edu.br/index.php/ifpb/catalog/book/80")</f>
        <v>http://editora.ifpb.edu.br/index.php/ifpb/catalog/book/80</v>
      </c>
      <c r="I38" s="24" t="str">
        <f>IFERROR(__xludf.DUMMYFUNCTION("""COMPUTED_VALUE"""),"Ciências Exatas e da Terra")</f>
        <v>Ciências Exatas e da Terra</v>
      </c>
    </row>
    <row r="39">
      <c r="A39" s="24" t="str">
        <f>IFERROR(__xludf.DUMMYFUNCTION("""COMPUTED_VALUE"""),"História da matemática: e-book – como surgiram alguns conceitos matemáticos?")</f>
        <v>História da matemática: e-book – como surgiram alguns conceitos matemáticos?</v>
      </c>
      <c r="B39" s="24" t="str">
        <f>IFERROR(__xludf.DUMMYFUNCTION("""COMPUTED_VALUE"""),"Valdirene da Rosa Rocho, Carla Margarete Ferreira dos Santos, Margarete Farias Medeiros, Carla Sofia Dias Brasil, Taís Pereira da Silva")</f>
        <v>Valdirene da Rosa Rocho, Carla Margarete Ferreira dos Santos, Margarete Farias Medeiros, Carla Sofia Dias Brasil, Taís Pereira da Silva</v>
      </c>
      <c r="C39" s="24" t="str">
        <f>IFERROR(__xludf.DUMMYFUNCTION("""COMPUTED_VALUE"""),"Sombrio")</f>
        <v>Sombrio</v>
      </c>
      <c r="D39" s="24" t="str">
        <f>IFERROR(__xludf.DUMMYFUNCTION("""COMPUTED_VALUE"""),"Instituto Federal Catarinense")</f>
        <v>Instituto Federal Catarinense</v>
      </c>
      <c r="E39" s="25">
        <f>IFERROR(__xludf.DUMMYFUNCTION("""COMPUTED_VALUE"""),2018.0)</f>
        <v>2018</v>
      </c>
      <c r="F39" s="24" t="str">
        <f>IFERROR(__xludf.DUMMYFUNCTION("""COMPUTED_VALUE"""),"História da Matemática")</f>
        <v>História da Matemática</v>
      </c>
      <c r="G39" s="28" t="str">
        <f>IFERROR(__xludf.DUMMYFUNCTION("""COMPUTED_VALUE"""),"9788556440235")</f>
        <v>9788556440235</v>
      </c>
      <c r="H39" s="29" t="str">
        <f>IFERROR(__xludf.DUMMYFUNCTION("""COMPUTED_VALUE"""),"https://editora.ifc.edu.br/2018/11/30/historia-da-matematica-e-book-como-surgiram-alguns-conceitos-matematicos/")</f>
        <v>https://editora.ifc.edu.br/2018/11/30/historia-da-matematica-e-book-como-surgiram-alguns-conceitos-matematicos/</v>
      </c>
      <c r="I39" s="24" t="str">
        <f>IFERROR(__xludf.DUMMYFUNCTION("""COMPUTED_VALUE"""),"Ciências Exatas e da Terra")</f>
        <v>Ciências Exatas e da Terra</v>
      </c>
    </row>
    <row r="40">
      <c r="A40" s="24" t="str">
        <f>IFERROR(__xludf.DUMMYFUNCTION("""COMPUTED_VALUE"""),"Histórias nas paisagens do saber das Ciências e Matemática: o entrecruzar das experiências do OBEDUC aos Novos Talentos")</f>
        <v>Histórias nas paisagens do saber das Ciências e Matemática: o entrecruzar das experiências do OBEDUC aos Novos Talentos</v>
      </c>
      <c r="B40" s="24" t="str">
        <f>IFERROR(__xludf.DUMMYFUNCTION("""COMPUTED_VALUE"""),"Maria Elizabete; Rambo Kochhann, Cláudia Landin Negreiros, Maria Margareth Costa de; Albuquerque Krause, Éverton Neves dos Santos (org.)")</f>
        <v>Maria Elizabete; Rambo Kochhann, Cláudia Landin Negreiros, Maria Margareth Costa de; Albuquerque Krause, Éverton Neves dos Santos (org.)</v>
      </c>
      <c r="C40" s="24" t="str">
        <f>IFERROR(__xludf.DUMMYFUNCTION("""COMPUTED_VALUE"""),"Cáceres")</f>
        <v>Cáceres</v>
      </c>
      <c r="D40" s="24" t="str">
        <f>IFERROR(__xludf.DUMMYFUNCTION("""COMPUTED_VALUE"""),"UNEMAT")</f>
        <v>UNEMAT</v>
      </c>
      <c r="E40" s="25">
        <f>IFERROR(__xludf.DUMMYFUNCTION("""COMPUTED_VALUE"""),2015.0)</f>
        <v>2015</v>
      </c>
      <c r="F40" s="24" t="str">
        <f>IFERROR(__xludf.DUMMYFUNCTION("""COMPUTED_VALUE"""),"Matemática; Educação")</f>
        <v>Matemática; Educação</v>
      </c>
      <c r="G40" s="28" t="str">
        <f>IFERROR(__xludf.DUMMYFUNCTION("""COMPUTED_VALUE"""),"9788579111440")</f>
        <v>9788579111440</v>
      </c>
      <c r="H40" s="29" t="str">
        <f>IFERROR(__xludf.DUMMYFUNCTION("""COMPUTED_VALUE"""),"http://www.unemat.br/reitoria/editora/downloads/eletronico/livro_historias_nas_paisagens_do_saber_das_ciencias_e_matematica_E-BOOK_3.pdf")</f>
        <v>http://www.unemat.br/reitoria/editora/downloads/eletronico/livro_historias_nas_paisagens_do_saber_das_ciencias_e_matematica_E-BOOK_3.pdf</v>
      </c>
      <c r="I40" s="24" t="str">
        <f>IFERROR(__xludf.DUMMYFUNCTION("""COMPUTED_VALUE"""),"Ciências Exatas e da Terra")</f>
        <v>Ciências Exatas e da Terra</v>
      </c>
    </row>
    <row r="41">
      <c r="A41" s="24" t="str">
        <f>IFERROR(__xludf.DUMMYFUNCTION("""COMPUTED_VALUE"""),"Implantação de melhoria de processos de software com CMMI-DEV nível 2")</f>
        <v>Implantação de melhoria de processos de software com CMMI-DEV nível 2</v>
      </c>
      <c r="B41" s="24" t="str">
        <f>IFERROR(__xludf.DUMMYFUNCTION("""COMPUTED_VALUE"""),"Maxwell Anderson Ielpo do Amaral.")</f>
        <v>Maxwell Anderson Ielpo do Amaral.</v>
      </c>
      <c r="C41" s="24" t="str">
        <f>IFERROR(__xludf.DUMMYFUNCTION("""COMPUTED_VALUE"""),"João Pessoa")</f>
        <v>João Pessoa</v>
      </c>
      <c r="D41" s="24" t="str">
        <f>IFERROR(__xludf.DUMMYFUNCTION("""COMPUTED_VALUE"""),"Editora IFPB")</f>
        <v>Editora IFPB</v>
      </c>
      <c r="E41" s="25">
        <f>IFERROR(__xludf.DUMMYFUNCTION("""COMPUTED_VALUE"""),2015.0)</f>
        <v>2015</v>
      </c>
      <c r="F41" s="24" t="str">
        <f>IFERROR(__xludf.DUMMYFUNCTION("""COMPUTED_VALUE"""),"Software; Melhoria de processo de software; Gerenciamento de projeto; CMMI-DEV; PMBOK")</f>
        <v>Software; Melhoria de processo de software; Gerenciamento de projeto; CMMI-DEV; PMBOK</v>
      </c>
      <c r="G41" s="28" t="str">
        <f>IFERROR(__xludf.DUMMYFUNCTION("""COMPUTED_VALUE"""),"9788563406569")</f>
        <v>9788563406569</v>
      </c>
      <c r="H41" s="29" t="str">
        <f>IFERROR(__xludf.DUMMYFUNCTION("""COMPUTED_VALUE"""),"http://editora.ifpb.edu.br/index.php/ifpb/catalog/book/7")</f>
        <v>http://editora.ifpb.edu.br/index.php/ifpb/catalog/book/7</v>
      </c>
      <c r="I41" s="24" t="str">
        <f>IFERROR(__xludf.DUMMYFUNCTION("""COMPUTED_VALUE"""),"Ciências Exatas e da Terra")</f>
        <v>Ciências Exatas e da Terra</v>
      </c>
    </row>
    <row r="42">
      <c r="A42" s="24" t="str">
        <f>IFERROR(__xludf.DUMMYFUNCTION("""COMPUTED_VALUE"""),"Interfaces em Química: uma produção do Grupo de Pesquisa em Química da Universidade do Estado do Pará")</f>
        <v>Interfaces em Química: uma produção do Grupo de Pesquisa em Química da Universidade do Estado do Pará</v>
      </c>
      <c r="B42" s="24" t="str">
        <f>IFERROR(__xludf.DUMMYFUNCTION("""COMPUTED_VALUE"""),"João da Silva Carneiro, Maria Dulcimar de Brito Silva, Ronilson Freitas de Souza (org.) ")</f>
        <v>João da Silva Carneiro, Maria Dulcimar de Brito Silva, Ronilson Freitas de Souza (org.) </v>
      </c>
      <c r="C42" s="24" t="str">
        <f>IFERROR(__xludf.DUMMYFUNCTION("""COMPUTED_VALUE"""),"Belém")</f>
        <v>Belém</v>
      </c>
      <c r="D42" s="24" t="str">
        <f>IFERROR(__xludf.DUMMYFUNCTION("""COMPUTED_VALUE"""),"UEPA")</f>
        <v>UEPA</v>
      </c>
      <c r="E42" s="25">
        <f>IFERROR(__xludf.DUMMYFUNCTION("""COMPUTED_VALUE"""),2018.0)</f>
        <v>2018</v>
      </c>
      <c r="F42" s="24" t="str">
        <f>IFERROR(__xludf.DUMMYFUNCTION("""COMPUTED_VALUE"""),"Química; Química - Pesquisa; Ciência - Estudo e ensino; Educação ambiental")</f>
        <v>Química; Química - Pesquisa; Ciência - Estudo e ensino; Educação ambiental</v>
      </c>
      <c r="G42" s="28" t="str">
        <f>IFERROR(__xludf.DUMMYFUNCTION("""COMPUTED_VALUE"""),"9788584580323")</f>
        <v>9788584580323</v>
      </c>
      <c r="H42" s="29" t="str">
        <f>IFERROR(__xludf.DUMMYFUNCTION("""COMPUTED_VALUE"""),"https://paginas.uepa.br/eduepa/wp-content/uploads/2019/06/INTERFACES-EM-QUIMICA.pdf")</f>
        <v>https://paginas.uepa.br/eduepa/wp-content/uploads/2019/06/INTERFACES-EM-QUIMICA.pdf</v>
      </c>
      <c r="I42" s="24" t="str">
        <f>IFERROR(__xludf.DUMMYFUNCTION("""COMPUTED_VALUE"""),"Ciências Exatas e da Terra")</f>
        <v>Ciências Exatas e da Terra</v>
      </c>
    </row>
    <row r="43">
      <c r="A43" s="24" t="str">
        <f>IFERROR(__xludf.DUMMYFUNCTION("""COMPUTED_VALUE"""),"Intoduction To Exact Control Theory Method Hum")</f>
        <v>Intoduction To Exact Control Theory Method Hum</v>
      </c>
      <c r="B43" s="24" t="str">
        <f>IFERROR(__xludf.DUMMYFUNCTION("""COMPUTED_VALUE"""),"Luis Adauto Medeiros; Manuel Milla Miranda; Aldo Trajano Lourêdo")</f>
        <v>Luis Adauto Medeiros; Manuel Milla Miranda; Aldo Trajano Lourêdo</v>
      </c>
      <c r="C43" s="24" t="str">
        <f>IFERROR(__xludf.DUMMYFUNCTION("""COMPUTED_VALUE"""),"Campina Grande")</f>
        <v>Campina Grande</v>
      </c>
      <c r="D43" s="24" t="str">
        <f>IFERROR(__xludf.DUMMYFUNCTION("""COMPUTED_VALUE"""),"EDUEPB")</f>
        <v>EDUEPB</v>
      </c>
      <c r="E43" s="25">
        <f>IFERROR(__xludf.DUMMYFUNCTION("""COMPUTED_VALUE"""),2013.0)</f>
        <v>2013</v>
      </c>
      <c r="F43" s="24" t="str">
        <f>IFERROR(__xludf.DUMMYFUNCTION("""COMPUTED_VALUE"""),"Mathematics. Strong solutions. Weak solutions. HUM: and the Wave Equation with Variable Coefficients")</f>
        <v>Mathematics. Strong solutions. Weak solutions. HUM: and the Wave Equation with Variable Coefficients</v>
      </c>
      <c r="G43" s="28" t="str">
        <f>IFERROR(__xludf.DUMMYFUNCTION("""COMPUTED_VALUE"""),"9788578791773")</f>
        <v>9788578791773</v>
      </c>
      <c r="H43" s="29" t="str">
        <f>IFERROR(__xludf.DUMMYFUNCTION("""COMPUTED_VALUE"""),"http://eduepb.uepb.edu.br/download/intoduction-to-exact-control-theory-method-hum/?wpdmdl=190&amp;amp;masterkey=5af99b95000a3")</f>
        <v>http://eduepb.uepb.edu.br/download/intoduction-to-exact-control-theory-method-hum/?wpdmdl=190&amp;amp;masterkey=5af99b95000a3</v>
      </c>
      <c r="I43" s="24" t="str">
        <f>IFERROR(__xludf.DUMMYFUNCTION("""COMPUTED_VALUE"""),"Ciências Exatas e da Terra")</f>
        <v>Ciências Exatas e da Terra</v>
      </c>
    </row>
    <row r="44">
      <c r="A44" s="24" t="str">
        <f>IFERROR(__xludf.DUMMYFUNCTION("""COMPUTED_VALUE"""),"Introdução à Análise de Agrupamento: teoria e prática com aplicações em R")</f>
        <v>Introdução à Análise de Agrupamento: teoria e prática com aplicações em R</v>
      </c>
      <c r="B44" s="24" t="str">
        <f>IFERROR(__xludf.DUMMYFUNCTION("""COMPUTED_VALUE"""),"Mácio Augusto de Albuquerque; Kleber Napoleão Nunes de Oliveira Barros")</f>
        <v>Mácio Augusto de Albuquerque; Kleber Napoleão Nunes de Oliveira Barros</v>
      </c>
      <c r="C44" s="24" t="str">
        <f>IFERROR(__xludf.DUMMYFUNCTION("""COMPUTED_VALUE"""),"Campina Grande")</f>
        <v>Campina Grande</v>
      </c>
      <c r="D44" s="24" t="str">
        <f>IFERROR(__xludf.DUMMYFUNCTION("""COMPUTED_VALUE"""),"EDUEPB")</f>
        <v>EDUEPB</v>
      </c>
      <c r="E44" s="25">
        <f>IFERROR(__xludf.DUMMYFUNCTION("""COMPUTED_VALUE"""),2020.0)</f>
        <v>2020</v>
      </c>
      <c r="F44" s="24" t="str">
        <f>IFERROR(__xludf.DUMMYFUNCTION("""COMPUTED_VALUE"""),"Análise Multivariada. Medidas de distância. Técnicas estatísticas multivariadas")</f>
        <v>Análise Multivariada. Medidas de distância. Técnicas estatísticas multivariadas</v>
      </c>
      <c r="G44" s="28" t="str">
        <f>IFERROR(__xludf.DUMMYFUNCTION("""COMPUTED_VALUE"""),"9786586221015")</f>
        <v>9786586221015</v>
      </c>
      <c r="H44" s="29" t="str">
        <f>IFERROR(__xludf.DUMMYFUNCTION("""COMPUTED_VALUE"""),"http://eduepb.uepb.edu.br/download/introducao-a-analise-de-agrupamento-teoria-e-pratica-com-aplicacoes-em-r/?wpdmdl=997&amp;#038;masterkey=5e97904980fc9")</f>
        <v>http://eduepb.uepb.edu.br/download/introducao-a-analise-de-agrupamento-teoria-e-pratica-com-aplicacoes-em-r/?wpdmdl=997&amp;#038;masterkey=5e97904980fc9</v>
      </c>
      <c r="I44" s="24" t="str">
        <f>IFERROR(__xludf.DUMMYFUNCTION("""COMPUTED_VALUE"""),"Ciências Exatas e da Terra")</f>
        <v>Ciências Exatas e da Terra</v>
      </c>
    </row>
    <row r="45">
      <c r="A45" s="24" t="str">
        <f>IFERROR(__xludf.DUMMYFUNCTION("""COMPUTED_VALUE"""),"Introdução à Análise Real: Teoremas e Algumas Aplicações")</f>
        <v>Introdução à Análise Real: Teoremas e Algumas Aplicações</v>
      </c>
      <c r="B45" s="24" t="str">
        <f>IFERROR(__xludf.DUMMYFUNCTION("""COMPUTED_VALUE"""),"Rafael Carlos Vélez Benito, Afrânio Austregésilo Thiel, Matheus dos Santos Modesti.")</f>
        <v>Rafael Carlos Vélez Benito, Afrânio Austregésilo Thiel, Matheus dos Santos Modesti.</v>
      </c>
      <c r="C45" s="24" t="str">
        <f>IFERROR(__xludf.DUMMYFUNCTION("""COMPUTED_VALUE"""),"Camboriú")</f>
        <v>Camboriú</v>
      </c>
      <c r="D45" s="24" t="str">
        <f>IFERROR(__xludf.DUMMYFUNCTION("""COMPUTED_VALUE"""),"Instituto Federal Catarinense")</f>
        <v>Instituto Federal Catarinense</v>
      </c>
      <c r="E45" s="25">
        <f>IFERROR(__xludf.DUMMYFUNCTION("""COMPUTED_VALUE"""),2018.0)</f>
        <v>2018</v>
      </c>
      <c r="F45" s="24" t="str">
        <f>IFERROR(__xludf.DUMMYFUNCTION("""COMPUTED_VALUE"""),"Análise Real. Ensino de Matemática. Equações")</f>
        <v>Análise Real. Ensino de Matemática. Equações</v>
      </c>
      <c r="G45" s="28" t="str">
        <f>IFERROR(__xludf.DUMMYFUNCTION("""COMPUTED_VALUE"""),"9788556440228")</f>
        <v>9788556440228</v>
      </c>
      <c r="H45" s="29" t="str">
        <f>IFERROR(__xludf.DUMMYFUNCTION("""COMPUTED_VALUE"""),"https://editora.ifc.edu.br/2018/12/14/introducao-a-analise-real-teoremas-e-algumas-aplicacoes/")</f>
        <v>https://editora.ifc.edu.br/2018/12/14/introducao-a-analise-real-teoremas-e-algumas-aplicacoes/</v>
      </c>
      <c r="I45" s="24" t="str">
        <f>IFERROR(__xludf.DUMMYFUNCTION("""COMPUTED_VALUE"""),"Ciências Exatas e da Terra")</f>
        <v>Ciências Exatas e da Terra</v>
      </c>
    </row>
    <row r="46">
      <c r="A46" s="24" t="str">
        <f>IFERROR(__xludf.DUMMYFUNCTION("""COMPUTED_VALUE"""),"Introdução ao estudo da topografia")</f>
        <v>Introdução ao estudo da topografia</v>
      </c>
      <c r="B46" s="24" t="str">
        <f>IFERROR(__xludf.DUMMYFUNCTION("""COMPUTED_VALUE"""),"Rogers Ademir Drunn Pereira")</f>
        <v>Rogers Ademir Drunn Pereira</v>
      </c>
      <c r="C46" s="24" t="str">
        <f>IFERROR(__xludf.DUMMYFUNCTION("""COMPUTED_VALUE"""),"Pelotas")</f>
        <v>Pelotas</v>
      </c>
      <c r="D46" s="24" t="str">
        <f>IFERROR(__xludf.DUMMYFUNCTION("""COMPUTED_VALUE"""),"UFPel")</f>
        <v>UFPel</v>
      </c>
      <c r="E46" s="25">
        <f>IFERROR(__xludf.DUMMYFUNCTION("""COMPUTED_VALUE"""),2019.0)</f>
        <v>2019</v>
      </c>
      <c r="F46" s="24" t="str">
        <f>IFERROR(__xludf.DUMMYFUNCTION("""COMPUTED_VALUE"""),"Topografia; Topografia – instrução e estudo; Medidas")</f>
        <v>Topografia; Topografia – instrução e estudo; Medidas</v>
      </c>
      <c r="G46" s="28" t="str">
        <f>IFERROR(__xludf.DUMMYFUNCTION("""COMPUTED_VALUE"""),"9788551700389")</f>
        <v>9788551700389</v>
      </c>
      <c r="H46" s="29" t="str">
        <f>IFERROR(__xludf.DUMMYFUNCTION("""COMPUTED_VALUE"""),"http://guaiaca.ufpel.edu.br/bitstream/prefix/4295/3/Introdu%c3%a7%c3%a3o%20ao%20estudo%20da%20topografia.pdf")</f>
        <v>http://guaiaca.ufpel.edu.br/bitstream/prefix/4295/3/Introdu%c3%a7%c3%a3o%20ao%20estudo%20da%20topografia.pdf</v>
      </c>
      <c r="I46" s="24" t="str">
        <f>IFERROR(__xludf.DUMMYFUNCTION("""COMPUTED_VALUE"""),"Ciências Exatas e da Terra")</f>
        <v>Ciências Exatas e da Terra</v>
      </c>
    </row>
    <row r="47">
      <c r="A47" s="24" t="str">
        <f>IFERROR(__xludf.DUMMYFUNCTION("""COMPUTED_VALUE"""),"Investigação dos Depósitos Fluviais e de Encosta em Bacias de Cabeceira do Alto Rio das Velhas (MG): Subsídios Para Avaliação da Suscetibilidade a Fluxos de Detritos")</f>
        <v>Investigação dos Depósitos Fluviais e de Encosta em Bacias de Cabeceira do Alto Rio das Velhas (MG): Subsídios Para Avaliação da Suscetibilidade a Fluxos de Detritos</v>
      </c>
      <c r="B47" s="24" t="str">
        <f>IFERROR(__xludf.DUMMYFUNCTION("""COMPUTED_VALUE"""),"Laís de Carvalho Faria Lima Lopes")</f>
        <v>Laís de Carvalho Faria Lima Lopes</v>
      </c>
      <c r="C47" s="24" t="str">
        <f>IFERROR(__xludf.DUMMYFUNCTION("""COMPUTED_VALUE"""),"Ouro Preto")</f>
        <v>Ouro Preto</v>
      </c>
      <c r="D47" s="24" t="str">
        <f>IFERROR(__xludf.DUMMYFUNCTION("""COMPUTED_VALUE"""),"UFOP")</f>
        <v>UFOP</v>
      </c>
      <c r="E47" s="25">
        <f>IFERROR(__xludf.DUMMYFUNCTION("""COMPUTED_VALUE"""),2017.0)</f>
        <v>2017</v>
      </c>
      <c r="F47" s="24" t="str">
        <f>IFERROR(__xludf.DUMMYFUNCTION("""COMPUTED_VALUE"""),"Sedimentação e depósitos. Massas girantes de fluídos. Geotecnia – Aspectos ambientais")</f>
        <v>Sedimentação e depósitos. Massas girantes de fluídos. Geotecnia – Aspectos ambientais</v>
      </c>
      <c r="G47" s="28" t="str">
        <f>IFERROR(__xludf.DUMMYFUNCTION("""COMPUTED_VALUE"""),"9788528803563")</f>
        <v>9788528803563</v>
      </c>
      <c r="H47" s="29" t="str">
        <f>IFERROR(__xludf.DUMMYFUNCTION("""COMPUTED_VALUE"""),"https://www.editora.ufop.br/index.php/editora/catalog/view/134/107/351-1")</f>
        <v>https://www.editora.ufop.br/index.php/editora/catalog/view/134/107/351-1</v>
      </c>
      <c r="I47" s="24" t="str">
        <f>IFERROR(__xludf.DUMMYFUNCTION("""COMPUTED_VALUE"""),"Ciências Exatas e da Terra")</f>
        <v>Ciências Exatas e da Terra</v>
      </c>
    </row>
    <row r="48">
      <c r="A48" s="24" t="str">
        <f>IFERROR(__xludf.DUMMYFUNCTION("""COMPUTED_VALUE"""),"Itinerários de Pesquisas em Ensino de Ciências e Educação Matemática")</f>
        <v>Itinerários de Pesquisas em Ensino de Ciências e Educação Matemática</v>
      </c>
      <c r="B48" s="24" t="str">
        <f>IFERROR(__xludf.DUMMYFUNCTION("""COMPUTED_VALUE"""),"José Joelson Pimentel de Almeida; Francisco Ferreira Dantas Filho (org.)")</f>
        <v>José Joelson Pimentel de Almeida; Francisco Ferreira Dantas Filho (org.)</v>
      </c>
      <c r="C48" s="24" t="str">
        <f>IFERROR(__xludf.DUMMYFUNCTION("""COMPUTED_VALUE"""),"Campina Grande")</f>
        <v>Campina Grande</v>
      </c>
      <c r="D48" s="24" t="str">
        <f>IFERROR(__xludf.DUMMYFUNCTION("""COMPUTED_VALUE"""),"EDUEPB")</f>
        <v>EDUEPB</v>
      </c>
      <c r="E48" s="25">
        <f>IFERROR(__xludf.DUMMYFUNCTION("""COMPUTED_VALUE"""),2019.0)</f>
        <v>2019</v>
      </c>
      <c r="F48" s="24" t="str">
        <f>IFERROR(__xludf.DUMMYFUNCTION("""COMPUTED_VALUE"""),"Ciência - Estudo e ensino. Matemática - Estudo e ensino. Educação Matemática - História. Ciências e Tecnologias. Teorias; do digital. Ciências e Matemática - Ensino-Tecnologia. Ciências e; Matemática - Ensino - Formação")</f>
        <v>Ciência - Estudo e ensino. Matemática - Estudo e ensino. Educação Matemática - História. Ciências e Tecnologias. Teorias; do digital. Ciências e Matemática - Ensino-Tecnologia. Ciências e; Matemática - Ensino - Formação</v>
      </c>
      <c r="G48" s="28" t="str">
        <f>IFERROR(__xludf.DUMMYFUNCTION("""COMPUTED_VALUE"""),"9788578795627")</f>
        <v>9788578795627</v>
      </c>
      <c r="H48" s="29" t="str">
        <f>IFERROR(__xludf.DUMMYFUNCTION("""COMPUTED_VALUE"""),"http://eduepb.uepb.edu.br/download/itinerarios-de-pesquisas-em-ensino-de-ciencias-e-educacao-matematica/?wpdmdl=701&amp;amp;masterkey=5cc6e5fa42595")</f>
        <v>http://eduepb.uepb.edu.br/download/itinerarios-de-pesquisas-em-ensino-de-ciencias-e-educacao-matematica/?wpdmdl=701&amp;amp;masterkey=5cc6e5fa42595</v>
      </c>
      <c r="I48" s="24" t="str">
        <f>IFERROR(__xludf.DUMMYFUNCTION("""COMPUTED_VALUE"""),"Ciências Exatas e da Terra")</f>
        <v>Ciências Exatas e da Terra</v>
      </c>
    </row>
    <row r="49">
      <c r="A49" s="24" t="str">
        <f>IFERROR(__xludf.DUMMYFUNCTION("""COMPUTED_VALUE"""),"James Clerk Maxwell – Textos selecionados")</f>
        <v>James Clerk Maxwell – Textos selecionados</v>
      </c>
      <c r="B49" s="24" t="str">
        <f>IFERROR(__xludf.DUMMYFUNCTION("""COMPUTED_VALUE"""),"Antonio Augusto Passos Videira e Carlos Fils Puig")</f>
        <v>Antonio Augusto Passos Videira e Carlos Fils Puig</v>
      </c>
      <c r="C49" s="24" t="str">
        <f>IFERROR(__xludf.DUMMYFUNCTION("""COMPUTED_VALUE"""),"Rio de Janeiro")</f>
        <v>Rio de Janeiro</v>
      </c>
      <c r="D49" s="24" t="str">
        <f>IFERROR(__xludf.DUMMYFUNCTION("""COMPUTED_VALUE"""),"EdUERJ")</f>
        <v>EdUERJ</v>
      </c>
      <c r="E49" s="25">
        <f>IFERROR(__xludf.DUMMYFUNCTION("""COMPUTED_VALUE"""),2017.0)</f>
        <v>2017</v>
      </c>
      <c r="F49" s="24" t="str">
        <f>IFERROR(__xludf.DUMMYFUNCTION("""COMPUTED_VALUE"""),"James Clerk Maxwell; Eletromagnetismo; Física")</f>
        <v>James Clerk Maxwell; Eletromagnetismo; Física</v>
      </c>
      <c r="G49" s="28" t="str">
        <f>IFERROR(__xludf.DUMMYFUNCTION("""COMPUTED_VALUE"""),"9788575114339")</f>
        <v>9788575114339</v>
      </c>
      <c r="H49" s="29" t="str">
        <f>IFERROR(__xludf.DUMMYFUNCTION("""COMPUTED_VALUE"""),"https://www.eduerj.com/eng/?product=james-clerk-maxwell-textos-selecionados-ebook")</f>
        <v>https://www.eduerj.com/eng/?product=james-clerk-maxwell-textos-selecionados-ebook</v>
      </c>
      <c r="I49" s="24" t="str">
        <f>IFERROR(__xludf.DUMMYFUNCTION("""COMPUTED_VALUE"""),"Ciências Exatas e da Terra")</f>
        <v>Ciências Exatas e da Terra</v>
      </c>
    </row>
    <row r="50">
      <c r="A50" s="24" t="str">
        <f>IFERROR(__xludf.DUMMYFUNCTION("""COMPUTED_VALUE"""),"Javascript para construção de páginas de Web")</f>
        <v>Javascript para construção de páginas de Web</v>
      </c>
      <c r="B50" s="24" t="str">
        <f>IFERROR(__xludf.DUMMYFUNCTION("""COMPUTED_VALUE"""),"Aura Conci; João Sérgio Assis ")</f>
        <v>Aura Conci; João Sérgio Assis </v>
      </c>
      <c r="C50" s="24" t="str">
        <f>IFERROR(__xludf.DUMMYFUNCTION("""COMPUTED_VALUE"""),"Niterói, RJ")</f>
        <v>Niterói, RJ</v>
      </c>
      <c r="D50" s="24" t="str">
        <f>IFERROR(__xludf.DUMMYFUNCTION("""COMPUTED_VALUE"""),"EDUFF")</f>
        <v>EDUFF</v>
      </c>
      <c r="E50" s="25">
        <f>IFERROR(__xludf.DUMMYFUNCTION("""COMPUTED_VALUE"""),2012.0)</f>
        <v>2012</v>
      </c>
      <c r="F50" s="24" t="str">
        <f>IFERROR(__xludf.DUMMYFUNCTION("""COMPUTED_VALUE"""),"Javascript; Construção de páginas de Web")</f>
        <v>Javascript; Construção de páginas de Web</v>
      </c>
      <c r="G50" s="28" t="str">
        <f>IFERROR(__xludf.DUMMYFUNCTION("""COMPUTED_VALUE"""),"9788522805358")</f>
        <v>9788522805358</v>
      </c>
      <c r="H50" s="29" t="str">
        <f>IFERROR(__xludf.DUMMYFUNCTION("""COMPUTED_VALUE"""),"http://www.eduff.uff.br/index.php/livros/64-javascript-para-construcao-de-paginas-web")</f>
        <v>http://www.eduff.uff.br/index.php/livros/64-javascript-para-construcao-de-paginas-web</v>
      </c>
      <c r="I50" s="24" t="str">
        <f>IFERROR(__xludf.DUMMYFUNCTION("""COMPUTED_VALUE"""),"Ciências Exatas e da Terra")</f>
        <v>Ciências Exatas e da Terra</v>
      </c>
    </row>
    <row r="51">
      <c r="A51" s="24" t="str">
        <f>IFERROR(__xludf.DUMMYFUNCTION("""COMPUTED_VALUE"""),"Jogos matemáticos na educação básica: a magia de ensinar e aprender")</f>
        <v>Jogos matemáticos na educação básica: a magia de ensinar e aprender</v>
      </c>
      <c r="B51" s="24" t="str">
        <f>IFERROR(__xludf.DUMMYFUNCTION("""COMPUTED_VALUE"""),"João Cesar Guirado; Akemi Yamagata Yamamoto; Clara Matiko Ueda; Teresinha Aparecida Corazza Pereira")</f>
        <v>João Cesar Guirado; Akemi Yamagata Yamamoto; Clara Matiko Ueda; Teresinha Aparecida Corazza Pereira</v>
      </c>
      <c r="C51" s="24" t="str">
        <f>IFERROR(__xludf.DUMMYFUNCTION("""COMPUTED_VALUE"""),"Campo Mourão, PR")</f>
        <v>Campo Mourão, PR</v>
      </c>
      <c r="D51" s="24" t="str">
        <f>IFERROR(__xludf.DUMMYFUNCTION("""COMPUTED_VALUE"""),"Editora Fecilcam")</f>
        <v>Editora Fecilcam</v>
      </c>
      <c r="E51" s="25">
        <f>IFERROR(__xludf.DUMMYFUNCTION("""COMPUTED_VALUE"""),2018.0)</f>
        <v>2018</v>
      </c>
      <c r="F51" s="24" t="str">
        <f>IFERROR(__xludf.DUMMYFUNCTION("""COMPUTED_VALUE"""),"Educação matemática. Educação básica. Jogos matemáticos")</f>
        <v>Educação matemática. Educação básica. Jogos matemáticos</v>
      </c>
      <c r="G51" s="28" t="str">
        <f>IFERROR(__xludf.DUMMYFUNCTION("""COMPUTED_VALUE"""),"9788588753495")</f>
        <v>9788588753495</v>
      </c>
      <c r="H51" s="29" t="str">
        <f>IFERROR(__xludf.DUMMYFUNCTION("""COMPUTED_VALUE"""),"http://campomourao.unespar.edu.br/editora/obras-digitais/jogos-matematicos-na-educacao-basica-a-magia-de-ensinar-e-aprender")</f>
        <v>http://campomourao.unespar.edu.br/editora/obras-digitais/jogos-matematicos-na-educacao-basica-a-magia-de-ensinar-e-aprender</v>
      </c>
      <c r="I51" s="24" t="str">
        <f>IFERROR(__xludf.DUMMYFUNCTION("""COMPUTED_VALUE"""),"Ciências Exatas e da Terra")</f>
        <v>Ciências Exatas e da Terra</v>
      </c>
    </row>
    <row r="52">
      <c r="A52" s="24" t="str">
        <f>IFERROR(__xludf.DUMMYFUNCTION("""COMPUTED_VALUE"""),"Lecture Notes on Geometric Analysis")</f>
        <v>Lecture Notes on Geometric Analysis</v>
      </c>
      <c r="B52" s="24" t="str">
        <f>IFERROR(__xludf.DUMMYFUNCTION("""COMPUTED_VALUE"""),"Leandro de Freitas Pessoa (org.)")</f>
        <v>Leandro de Freitas Pessoa (org.)</v>
      </c>
      <c r="C52" s="24" t="str">
        <f>IFERROR(__xludf.DUMMYFUNCTION("""COMPUTED_VALUE"""),"Teresina")</f>
        <v>Teresina</v>
      </c>
      <c r="D52" s="24" t="str">
        <f>IFERROR(__xludf.DUMMYFUNCTION("""COMPUTED_VALUE"""),"EDUFPI")</f>
        <v>EDUFPI</v>
      </c>
      <c r="E52" s="25">
        <f>IFERROR(__xludf.DUMMYFUNCTION("""COMPUTED_VALUE"""),2017.0)</f>
        <v>2017</v>
      </c>
      <c r="F52" s="24" t="str">
        <f>IFERROR(__xludf.DUMMYFUNCTION("""COMPUTED_VALUE"""),"Mathematic; Differential Geometry; Geometric Analysis")</f>
        <v>Mathematic; Differential Geometry; Geometric Analysis</v>
      </c>
      <c r="G52" s="28" t="str">
        <f>IFERROR(__xludf.DUMMYFUNCTION("""COMPUTED_VALUE"""),"9788550902456")</f>
        <v>9788550902456</v>
      </c>
      <c r="H52" s="29" t="str">
        <f>IFERROR(__xludf.DUMMYFUNCTION("""COMPUTED_VALUE"""),"https://www.ufpi.br/arquivos_download/arquivos/EDUFPI/Lecture_Notes_on_Geometric_Analysis_L.F.Pessoa_e-book.pdf")</f>
        <v>https://www.ufpi.br/arquivos_download/arquivos/EDUFPI/Lecture_Notes_on_Geometric_Analysis_L.F.Pessoa_e-book.pdf</v>
      </c>
      <c r="I52" s="24" t="str">
        <f>IFERROR(__xludf.DUMMYFUNCTION("""COMPUTED_VALUE"""),"Ciências Exatas e da Terra")</f>
        <v>Ciências Exatas e da Terra</v>
      </c>
    </row>
    <row r="53">
      <c r="A53" s="24" t="str">
        <f>IFERROR(__xludf.DUMMYFUNCTION("""COMPUTED_VALUE"""),"Leis da natureza: uma abordagem filosófica ")</f>
        <v>Leis da natureza: uma abordagem filosófica </v>
      </c>
      <c r="B53" s="24" t="str">
        <f>IFERROR(__xludf.DUMMYFUNCTION("""COMPUTED_VALUE"""),"Rodrigo Reis Lastra Cid")</f>
        <v>Rodrigo Reis Lastra Cid</v>
      </c>
      <c r="C53" s="24" t="str">
        <f>IFERROR(__xludf.DUMMYFUNCTION("""COMPUTED_VALUE"""),"Macapá")</f>
        <v>Macapá</v>
      </c>
      <c r="D53" s="24" t="str">
        <f>IFERROR(__xludf.DUMMYFUNCTION("""COMPUTED_VALUE"""),"UNIFAP")</f>
        <v>UNIFAP</v>
      </c>
      <c r="E53" s="25">
        <f>IFERROR(__xludf.DUMMYFUNCTION("""COMPUTED_VALUE"""),2019.0)</f>
        <v>2019</v>
      </c>
      <c r="F53" s="24" t="str">
        <f>IFERROR(__xludf.DUMMYFUNCTION("""COMPUTED_VALUE"""),"Leis da Natureza; Leis da Física; Metafísica")</f>
        <v>Leis da Natureza; Leis da Física; Metafísica</v>
      </c>
      <c r="G53" s="28" t="str">
        <f>IFERROR(__xludf.DUMMYFUNCTION("""COMPUTED_VALUE"""),"9788554760939")</f>
        <v>9788554760939</v>
      </c>
      <c r="H53" s="29" t="str">
        <f>IFERROR(__xludf.DUMMYFUNCTION("""COMPUTED_VALUE"""),"https://www2.unifap.br/editora/files/2019/12/leis-da-natureza-2.pdf")</f>
        <v>https://www2.unifap.br/editora/files/2019/12/leis-da-natureza-2.pdf</v>
      </c>
      <c r="I53" s="24" t="str">
        <f>IFERROR(__xludf.DUMMYFUNCTION("""COMPUTED_VALUE"""),"Ciências Exatas e da Terra")</f>
        <v>Ciências Exatas e da Terra</v>
      </c>
    </row>
    <row r="54">
      <c r="A54" s="24" t="str">
        <f>IFERROR(__xludf.DUMMYFUNCTION("""COMPUTED_VALUE"""),"Manual didático para o uso dos materiais do laboratório de matemática do Programa Brasil Profissionalizado")</f>
        <v>Manual didático para o uso dos materiais do laboratório de matemática do Programa Brasil Profissionalizado</v>
      </c>
      <c r="B54" s="24" t="str">
        <f>IFERROR(__xludf.DUMMYFUNCTION("""COMPUTED_VALUE"""),"Mariana Moran; Valdete dos Santos Coqueiro; Valdir Alves; Karina Dezilio; Suzana Domingues da Silva")</f>
        <v>Mariana Moran; Valdete dos Santos Coqueiro; Valdir Alves; Karina Dezilio; Suzana Domingues da Silva</v>
      </c>
      <c r="C54" s="24" t="str">
        <f>IFERROR(__xludf.DUMMYFUNCTION("""COMPUTED_VALUE"""),"Campo Mourão, PR")</f>
        <v>Campo Mourão, PR</v>
      </c>
      <c r="D54" s="24" t="str">
        <f>IFERROR(__xludf.DUMMYFUNCTION("""COMPUTED_VALUE"""),"Editora Fecilcam")</f>
        <v>Editora Fecilcam</v>
      </c>
      <c r="E54" s="25">
        <f>IFERROR(__xludf.DUMMYFUNCTION("""COMPUTED_VALUE"""),2017.0)</f>
        <v>2017</v>
      </c>
      <c r="F54" s="24" t="str">
        <f>IFERROR(__xludf.DUMMYFUNCTION("""COMPUTED_VALUE"""),"Matemática. Formação de professores. Educação matemática. Laboratório de ensino de matemática. Jogos no ensino da matemática")</f>
        <v>Matemática. Formação de professores. Educação matemática. Laboratório de ensino de matemática. Jogos no ensino da matemática</v>
      </c>
      <c r="G54" s="28" t="str">
        <f>IFERROR(__xludf.DUMMYFUNCTION("""COMPUTED_VALUE"""),"9788588753464")</f>
        <v>9788588753464</v>
      </c>
      <c r="H54" s="29" t="str">
        <f>IFERROR(__xludf.DUMMYFUNCTION("""COMPUTED_VALUE"""),"http://campomourao.unespar.edu.br/editora/obras-digitais/manual-didatico-para-o-uso-dos-materiais-do-laboratorio-de-matematica-do-programa-brasil-profissionalizado")</f>
        <v>http://campomourao.unespar.edu.br/editora/obras-digitais/manual-didatico-para-o-uso-dos-materiais-do-laboratorio-de-matematica-do-programa-brasil-profissionalizado</v>
      </c>
      <c r="I54" s="24" t="str">
        <f>IFERROR(__xludf.DUMMYFUNCTION("""COMPUTED_VALUE"""),"Ciências Exatas e da Terra")</f>
        <v>Ciências Exatas e da Terra</v>
      </c>
    </row>
    <row r="55">
      <c r="A55" s="24" t="str">
        <f>IFERROR(__xludf.DUMMYFUNCTION("""COMPUTED_VALUE"""),"Números racionais, reais e complexos")</f>
        <v>Números racionais, reais e complexos</v>
      </c>
      <c r="B55" s="24" t="str">
        <f>IFERROR(__xludf.DUMMYFUNCTION("""COMPUTED_VALUE"""),"Ripoll, Jaime Bruck; Ripoll, Cydara Cavedon; Silveira, Jose Francisco Porto da")</f>
        <v>Ripoll, Jaime Bruck; Ripoll, Cydara Cavedon; Silveira, Jose Francisco Porto da</v>
      </c>
      <c r="C55" s="24" t="str">
        <f>IFERROR(__xludf.DUMMYFUNCTION("""COMPUTED_VALUE"""),"Porto Alegre")</f>
        <v>Porto Alegre</v>
      </c>
      <c r="D55" s="24" t="str">
        <f>IFERROR(__xludf.DUMMYFUNCTION("""COMPUTED_VALUE"""),"UFRGS")</f>
        <v>UFRGS</v>
      </c>
      <c r="E55" s="25">
        <f>IFERROR(__xludf.DUMMYFUNCTION("""COMPUTED_VALUE"""),2011.0)</f>
        <v>2011</v>
      </c>
      <c r="F55" s="24" t="str">
        <f>IFERROR(__xludf.DUMMYFUNCTION("""COMPUTED_VALUE"""),"Numeros complexos; Numeros racionais; Números reais; Teoria dos números")</f>
        <v>Numeros complexos; Numeros racionais; Números reais; Teoria dos números</v>
      </c>
      <c r="G55" s="28" t="str">
        <f>IFERROR(__xludf.DUMMYFUNCTION("""COMPUTED_VALUE"""),"9788538601289")</f>
        <v>9788538601289</v>
      </c>
      <c r="H55" s="29" t="str">
        <f>IFERROR(__xludf.DUMMYFUNCTION("""COMPUTED_VALUE"""),"http://hdl.handle.net/10183/212829")</f>
        <v>http://hdl.handle.net/10183/212829</v>
      </c>
      <c r="I55" s="24" t="str">
        <f>IFERROR(__xludf.DUMMYFUNCTION("""COMPUTED_VALUE"""),"Ciências Exatas e da Terra")</f>
        <v>Ciências Exatas e da Terra</v>
      </c>
    </row>
    <row r="56">
      <c r="A56" s="24" t="str">
        <f>IFERROR(__xludf.DUMMYFUNCTION("""COMPUTED_VALUE"""),"O cálculo e a matemática superior: algumas aplicações – 1ª Edição")</f>
        <v>O cálculo e a matemática superior: algumas aplicações – 1ª Edição</v>
      </c>
      <c r="B56" s="24" t="str">
        <f>IFERROR(__xludf.DUMMYFUNCTION("""COMPUTED_VALUE"""),"Afrânio Austregésilo Thiel, Matheus dos Santos Modesti.")</f>
        <v>Afrânio Austregésilo Thiel, Matheus dos Santos Modesti.</v>
      </c>
      <c r="C56" s="24" t="str">
        <f>IFERROR(__xludf.DUMMYFUNCTION("""COMPUTED_VALUE"""),"Blumenau")</f>
        <v>Blumenau</v>
      </c>
      <c r="D56" s="24" t="str">
        <f>IFERROR(__xludf.DUMMYFUNCTION("""COMPUTED_VALUE"""),"Instituto Federal Catarinense")</f>
        <v>Instituto Federal Catarinense</v>
      </c>
      <c r="E56" s="25">
        <f>IFERROR(__xludf.DUMMYFUNCTION("""COMPUTED_VALUE"""),2016.0)</f>
        <v>2016</v>
      </c>
      <c r="F56" s="24" t="str">
        <f>IFERROR(__xludf.DUMMYFUNCTION("""COMPUTED_VALUE"""),"Matemática. Matemática - História. Funções (Matemática). Álgebra; Linear. Cálculo Diferencial. Cálculo Integral")</f>
        <v>Matemática. Matemática - História. Funções (Matemática). Álgebra; Linear. Cálculo Diferencial. Cálculo Integral</v>
      </c>
      <c r="G56" s="28" t="str">
        <f>IFERROR(__xludf.DUMMYFUNCTION("""COMPUTED_VALUE"""),"9788556440075")</f>
        <v>9788556440075</v>
      </c>
      <c r="H56" s="29" t="str">
        <f>IFERROR(__xludf.DUMMYFUNCTION("""COMPUTED_VALUE"""),"https://editora.ifc.edu.br/2017/03/20/o-calculo-e-a-matematica-superior-algumas-aplicacoes-1a-edicao/")</f>
        <v>https://editora.ifc.edu.br/2017/03/20/o-calculo-e-a-matematica-superior-algumas-aplicacoes-1a-edicao/</v>
      </c>
      <c r="I56" s="24" t="str">
        <f>IFERROR(__xludf.DUMMYFUNCTION("""COMPUTED_VALUE"""),"Ciências Exatas e da Terra")</f>
        <v>Ciências Exatas e da Terra</v>
      </c>
    </row>
    <row r="57">
      <c r="A57" s="24" t="str">
        <f>IFERROR(__xludf.DUMMYFUNCTION("""COMPUTED_VALUE"""),"O Tubo Centrifugado: Sua invenção e Metalurgia no Brasil")</f>
        <v>O Tubo Centrifugado: Sua invenção e Metalurgia no Brasil</v>
      </c>
      <c r="B57" s="24" t="str">
        <f>IFERROR(__xludf.DUMMYFUNCTION("""COMPUTED_VALUE"""),"José Carlos Vargens Tambasco; ")</f>
        <v>José Carlos Vargens Tambasco; </v>
      </c>
      <c r="C57" s="24" t="str">
        <f>IFERROR(__xludf.DUMMYFUNCTION("""COMPUTED_VALUE"""),"Ouro Preto")</f>
        <v>Ouro Preto</v>
      </c>
      <c r="D57" s="24" t="str">
        <f>IFERROR(__xludf.DUMMYFUNCTION("""COMPUTED_VALUE"""),"UFOP")</f>
        <v>UFOP</v>
      </c>
      <c r="E57" s="25">
        <f>IFERROR(__xludf.DUMMYFUNCTION("""COMPUTED_VALUE"""),2014.0)</f>
        <v>2014</v>
      </c>
      <c r="F57" s="24" t="str">
        <f>IFERROR(__xludf.DUMMYFUNCTION("""COMPUTED_VALUE"""),"Tecnologia - História. Metalurgia - Brasil. Engenha-ria - Brasil - História.Ferro fundido centrifugado")</f>
        <v>Tecnologia - História. Metalurgia - Brasil. Engenha-ria - Brasil - História.Ferro fundido centrifugado</v>
      </c>
      <c r="G57" s="28" t="str">
        <f>IFERROR(__xludf.DUMMYFUNCTION("""COMPUTED_VALUE"""),"8528800822")</f>
        <v>8528800822</v>
      </c>
      <c r="H57" s="29" t="str">
        <f>IFERROR(__xludf.DUMMYFUNCTION("""COMPUTED_VALUE"""),"https://www.editora.ufop.br/index.php/editora/catalog/view/50/35/117-1")</f>
        <v>https://www.editora.ufop.br/index.php/editora/catalog/view/50/35/117-1</v>
      </c>
      <c r="I57" s="24" t="str">
        <f>IFERROR(__xludf.DUMMYFUNCTION("""COMPUTED_VALUE"""),"Ciências Exatas e da Terra")</f>
        <v>Ciências Exatas e da Terra</v>
      </c>
    </row>
    <row r="58">
      <c r="A58" s="24" t="str">
        <f>IFERROR(__xludf.DUMMYFUNCTION("""COMPUTED_VALUE"""),"Objetivos Humanísticos, conteúdos científicos: contribuições da História")</f>
        <v>Objetivos Humanísticos, conteúdos científicos: contribuições da História</v>
      </c>
      <c r="B58" s="24" t="str">
        <f>IFERROR(__xludf.DUMMYFUNCTION("""COMPUTED_VALUE"""),"Ana Paula Bispo da Silva; Breno Arsioli Moura (org.)")</f>
        <v>Ana Paula Bispo da Silva; Breno Arsioli Moura (org.)</v>
      </c>
      <c r="C58" s="24" t="str">
        <f>IFERROR(__xludf.DUMMYFUNCTION("""COMPUTED_VALUE"""),"Campina Grande")</f>
        <v>Campina Grande</v>
      </c>
      <c r="D58" s="24" t="str">
        <f>IFERROR(__xludf.DUMMYFUNCTION("""COMPUTED_VALUE"""),"EDUEPB")</f>
        <v>EDUEPB</v>
      </c>
      <c r="E58" s="25">
        <f>IFERROR(__xludf.DUMMYFUNCTION("""COMPUTED_VALUE"""),2019.0)</f>
        <v>2019</v>
      </c>
      <c r="F58" s="24" t="str">
        <f>IFERROR(__xludf.DUMMYFUNCTION("""COMPUTED_VALUE"""),"Ciências – Estudo e Ensino. História da Ciência. Filosofia da Ciência. Historiografia da Ciência. Ciência – Teoria e Filosofia")</f>
        <v>Ciências – Estudo e Ensino. História da Ciência. Filosofia da Ciência. Historiografia da Ciência. Ciência – Teoria e Filosofia</v>
      </c>
      <c r="G58" s="28" t="str">
        <f>IFERROR(__xludf.DUMMYFUNCTION("""COMPUTED_VALUE"""),"9788578795788")</f>
        <v>9788578795788</v>
      </c>
      <c r="H58" s="29" t="str">
        <f>IFERROR(__xludf.DUMMYFUNCTION("""COMPUTED_VALUE"""),"http://eduepb.uepb.edu.br/download/objetivos-humanisticos/?wpdmdl=815&amp;#038;masterkey=5d5d28ebcdeb6")</f>
        <v>http://eduepb.uepb.edu.br/download/objetivos-humanisticos/?wpdmdl=815&amp;#038;masterkey=5d5d28ebcdeb6</v>
      </c>
      <c r="I58" s="24" t="str">
        <f>IFERROR(__xludf.DUMMYFUNCTION("""COMPUTED_VALUE"""),"Ciências Exatas e da Terra")</f>
        <v>Ciências Exatas e da Terra</v>
      </c>
    </row>
    <row r="59">
      <c r="A59" s="24" t="str">
        <f>IFERROR(__xludf.DUMMYFUNCTION("""COMPUTED_VALUE"""),"Olhares e práticas em diferentes ambientes de aprendizagem: 1º Jornada de Estágio do Curso de Matemática da UEPA")</f>
        <v>Olhares e práticas em diferentes ambientes de aprendizagem: 1º Jornada de Estágio do Curso de Matemática da UEPA</v>
      </c>
      <c r="B59" s="24" t="str">
        <f>IFERROR(__xludf.DUMMYFUNCTION("""COMPUTED_VALUE"""),"Coordenação; de Jeane do Socorro Costa da Silva. ")</f>
        <v>Coordenação; de Jeane do Socorro Costa da Silva. </v>
      </c>
      <c r="C59" s="24" t="str">
        <f>IFERROR(__xludf.DUMMYFUNCTION("""COMPUTED_VALUE"""),"Belém")</f>
        <v>Belém</v>
      </c>
      <c r="D59" s="24" t="str">
        <f>IFERROR(__xludf.DUMMYFUNCTION("""COMPUTED_VALUE"""),"UEPA")</f>
        <v>UEPA</v>
      </c>
      <c r="E59" s="25">
        <f>IFERROR(__xludf.DUMMYFUNCTION("""COMPUTED_VALUE"""),2019.0)</f>
        <v>2019</v>
      </c>
      <c r="F59" s="24" t="str">
        <f>IFERROR(__xludf.DUMMYFUNCTION("""COMPUTED_VALUE"""),"Estágio; Estagiários (Matemática); Programas de estágios; Prática de ensino")</f>
        <v>Estágio; Estagiários (Matemática); Programas de estágios; Prática de ensino</v>
      </c>
      <c r="G59" s="28" t="str">
        <f>IFERROR(__xludf.DUMMYFUNCTION("""COMPUTED_VALUE"""),"9788584580439")</f>
        <v>9788584580439</v>
      </c>
      <c r="H59" s="29" t="str">
        <f>IFERROR(__xludf.DUMMYFUNCTION("""COMPUTED_VALUE"""),"https://paginas.uepa.br/eduepa/wp-content/uploads/2020/07/olhares_praticas.pdf")</f>
        <v>https://paginas.uepa.br/eduepa/wp-content/uploads/2020/07/olhares_praticas.pdf</v>
      </c>
      <c r="I59" s="24" t="str">
        <f>IFERROR(__xludf.DUMMYFUNCTION("""COMPUTED_VALUE"""),"Ciências Exatas e da Terra")</f>
        <v>Ciências Exatas e da Terra</v>
      </c>
    </row>
    <row r="60">
      <c r="A60" s="24" t="str">
        <f>IFERROR(__xludf.DUMMYFUNCTION("""COMPUTED_VALUE"""),"Os minerais: elementos da geodiversidade*")</f>
        <v>Os minerais: elementos da geodiversidade*</v>
      </c>
      <c r="B60" s="24" t="str">
        <f>IFERROR(__xludf.DUMMYFUNCTION("""COMPUTED_VALUE"""),"Antonio Liccardo Nessol Luiz")</f>
        <v>Antonio Liccardo Nessol Luiz</v>
      </c>
      <c r="C60" s="24" t="str">
        <f>IFERROR(__xludf.DUMMYFUNCTION("""COMPUTED_VALUE"""),"Ponta Grossa")</f>
        <v>Ponta Grossa</v>
      </c>
      <c r="D60" s="24" t="str">
        <f>IFERROR(__xludf.DUMMYFUNCTION("""COMPUTED_VALUE"""),"Editora UEPG")</f>
        <v>Editora UEPG</v>
      </c>
      <c r="E60" s="25">
        <f>IFERROR(__xludf.DUMMYFUNCTION("""COMPUTED_VALUE"""),2017.0)</f>
        <v>2017</v>
      </c>
      <c r="F60" s="24" t="str">
        <f>IFERROR(__xludf.DUMMYFUNCTION("""COMPUTED_VALUE"""),"Geodiversidade é um conceito que aborda uma parte pouco conhecida do meio ambiente: o suporte da vida no planeta, o meio abiótico, as rochas, relevo, montanhas etc. Esta obra apresenta os minerais como unidades fundamentais deste conceito, demosntrandoos "&amp;"desdobramentos da compreensão de mineralogia no entendimento das relações do homem com seu hábitat. Aprender a identificar os minerais é o primeiro passo para entender a geodiversidade, seus usos e valores para a sociedade")</f>
        <v>Geodiversidade é um conceito que aborda uma parte pouco conhecida do meio ambiente: o suporte da vida no planeta, o meio abiótico, as rochas, relevo, montanhas etc. Esta obra apresenta os minerais como unidades fundamentais deste conceito, demosntrandoos desdobramentos da compreensão de mineralogia no entendimento das relações do homem com seu hábitat. Aprender a identificar os minerais é o primeiro passo para entender a geodiversidade, seus usos e valores para a sociedade</v>
      </c>
      <c r="G60" s="28" t="str">
        <f>IFERROR(__xludf.DUMMYFUNCTION("""COMPUTED_VALUE"""),"9878577982097")</f>
        <v>9878577982097</v>
      </c>
      <c r="H60" s="29" t="str">
        <f>IFERROR(__xludf.DUMMYFUNCTION("""COMPUTED_VALUE"""),"https://portal-archipelagus.azurewebsites.net/farol/eduepg/ebook/os-minerais-elementos-da-geodiversidade/41900/")</f>
        <v>https://portal-archipelagus.azurewebsites.net/farol/eduepg/ebook/os-minerais-elementos-da-geodiversidade/41900/</v>
      </c>
      <c r="I60" s="24" t="str">
        <f>IFERROR(__xludf.DUMMYFUNCTION("""COMPUTED_VALUE"""),"Ciências Exatas e da Terra")</f>
        <v>Ciências Exatas e da Terra</v>
      </c>
    </row>
    <row r="61">
      <c r="A61" s="24" t="str">
        <f>IFERROR(__xludf.DUMMYFUNCTION("""COMPUTED_VALUE"""),"Ozônio na recuperação de solos e recursos hídricos contaminados por mineração")</f>
        <v>Ozônio na recuperação de solos e recursos hídricos contaminados por mineração</v>
      </c>
      <c r="B61" s="24" t="str">
        <f>IFERROR(__xludf.DUMMYFUNCTION("""COMPUTED_VALUE"""),"Angioletto, Elidio; Carvalho, Elita Fontenele Urano de; Biazini Filho, Francisco Luiz; Lage Filho, Frederico A.; Riella, Humberto Gracher; Santos, Ivan; Depintor, José Carlos; Boscov, Maria Eugenia Gimenez; Menasce, Samy")</f>
        <v>Angioletto, Elidio; Carvalho, Elita Fontenele Urano de; Biazini Filho, Francisco Luiz; Lage Filho, Frederico A.; Riella, Humberto Gracher; Santos, Ivan; Depintor, José Carlos; Boscov, Maria Eugenia Gimenez; Menasce, Samy</v>
      </c>
      <c r="C61" s="24" t="str">
        <f>IFERROR(__xludf.DUMMYFUNCTION("""COMPUTED_VALUE"""),"Criciúma")</f>
        <v>Criciúma</v>
      </c>
      <c r="D61" s="24" t="str">
        <f>IFERROR(__xludf.DUMMYFUNCTION("""COMPUTED_VALUE"""),"Unesc")</f>
        <v>Unesc</v>
      </c>
      <c r="E61" s="25">
        <f>IFERROR(__xludf.DUMMYFUNCTION("""COMPUTED_VALUE"""),2016.0)</f>
        <v>2016</v>
      </c>
      <c r="F61" s="24" t="str">
        <f>IFERROR(__xludf.DUMMYFUNCTION("""COMPUTED_VALUE"""),"Ozonização; Efluentes – Tratamento; Áreas degradadas pela mineração – Recuperação; Drenagem ácida de minas - Tratamento; Solos – Poluição – Tratamento; Água - Poluição – Tratamento")</f>
        <v>Ozonização; Efluentes – Tratamento; Áreas degradadas pela mineração – Recuperação; Drenagem ácida de minas - Tratamento; Solos – Poluição – Tratamento; Água - Poluição – Tratamento</v>
      </c>
      <c r="G61" s="28" t="str">
        <f>IFERROR(__xludf.DUMMYFUNCTION("""COMPUTED_VALUE"""),"9788584100675")</f>
        <v>9788584100675</v>
      </c>
      <c r="H61" s="29" t="str">
        <f>IFERROR(__xludf.DUMMYFUNCTION("""COMPUTED_VALUE"""),"http://repositorio.unesc.net/handle/1/5014")</f>
        <v>http://repositorio.unesc.net/handle/1/5014</v>
      </c>
      <c r="I61" s="24" t="str">
        <f>IFERROR(__xludf.DUMMYFUNCTION("""COMPUTED_VALUE"""),"Ciências Exatas e da Terra")</f>
        <v>Ciências Exatas e da Terra</v>
      </c>
    </row>
    <row r="62">
      <c r="A62" s="24" t="str">
        <f>IFERROR(__xludf.DUMMYFUNCTION("""COMPUTED_VALUE"""),"Pré-cálculo")</f>
        <v>Pré-cálculo</v>
      </c>
      <c r="B62" s="24" t="str">
        <f>IFERROR(__xludf.DUMMYFUNCTION("""COMPUTED_VALUE"""),"Doering, Claus Ivo; Nacul, Liana Beatriz Costi; Doering, Luisa Rodriguez; ")</f>
        <v>Doering, Claus Ivo; Nacul, Liana Beatriz Costi; Doering, Luisa Rodriguez; </v>
      </c>
      <c r="C62" s="24" t="str">
        <f>IFERROR(__xludf.DUMMYFUNCTION("""COMPUTED_VALUE"""),"Porto Alegre")</f>
        <v>Porto Alegre</v>
      </c>
      <c r="D62" s="24" t="str">
        <f>IFERROR(__xludf.DUMMYFUNCTION("""COMPUTED_VALUE"""),"UFRGS")</f>
        <v>UFRGS</v>
      </c>
      <c r="E62" s="25">
        <f>IFERROR(__xludf.DUMMYFUNCTION("""COMPUTED_VALUE"""),2012.0)</f>
        <v>2012</v>
      </c>
      <c r="F62" s="24" t="str">
        <f>IFERROR(__xludf.DUMMYFUNCTION("""COMPUTED_VALUE"""),"Cálculo; Funcões reais; Geometria analítica; Polinômios; Pre-calculo; Trigonometria")</f>
        <v>Cálculo; Funcões reais; Geometria analítica; Polinômios; Pre-calculo; Trigonometria</v>
      </c>
      <c r="G62" s="28" t="str">
        <f>IFERROR(__xludf.DUMMYFUNCTION("""COMPUTED_VALUE"""),"9788538601821")</f>
        <v>9788538601821</v>
      </c>
      <c r="H62" s="29" t="str">
        <f>IFERROR(__xludf.DUMMYFUNCTION("""COMPUTED_VALUE"""),"http://hdl.handle.net/10183/212741")</f>
        <v>http://hdl.handle.net/10183/212741</v>
      </c>
      <c r="I62" s="24" t="str">
        <f>IFERROR(__xludf.DUMMYFUNCTION("""COMPUTED_VALUE"""),"Ciências Exatas e da Terra")</f>
        <v>Ciências Exatas e da Terra</v>
      </c>
    </row>
    <row r="63">
      <c r="A63" s="24" t="str">
        <f>IFERROR(__xludf.DUMMYFUNCTION("""COMPUTED_VALUE"""),"Principais técnicas com agrupamento em R")</f>
        <v>Principais técnicas com agrupamento em R</v>
      </c>
      <c r="B63" s="24" t="str">
        <f>IFERROR(__xludf.DUMMYFUNCTION("""COMPUTED_VALUE"""),"Edwirde Luiz Silva Camêlo; Paulo J. G. Lisboa; Ramón Gutiérrez Sánchez; Dalila Camêlo Aguiar")</f>
        <v>Edwirde Luiz Silva Camêlo; Paulo J. G. Lisboa; Ramón Gutiérrez Sánchez; Dalila Camêlo Aguiar</v>
      </c>
      <c r="C63" s="24" t="str">
        <f>IFERROR(__xludf.DUMMYFUNCTION("""COMPUTED_VALUE"""),"Campina Grande")</f>
        <v>Campina Grande</v>
      </c>
      <c r="D63" s="24" t="str">
        <f>IFERROR(__xludf.DUMMYFUNCTION("""COMPUTED_VALUE"""),"EDUEPB")</f>
        <v>EDUEPB</v>
      </c>
      <c r="E63" s="25">
        <f>IFERROR(__xludf.DUMMYFUNCTION("""COMPUTED_VALUE"""),2020.0)</f>
        <v>2020</v>
      </c>
      <c r="F63" s="24" t="str">
        <f>IFERROR(__xludf.DUMMYFUNCTION("""COMPUTED_VALUE"""),"Análise Multivariada. Estatística computacional. Estatística – Estudo; e ensino. Agrupamento – Aplicações em R")</f>
        <v>Análise Multivariada. Estatística computacional. Estatística – Estudo; e ensino. Agrupamento – Aplicações em R</v>
      </c>
      <c r="G63" s="28" t="str">
        <f>IFERROR(__xludf.DUMMYFUNCTION("""COMPUTED_VALUE"""),"9788578796167")</f>
        <v>9788578796167</v>
      </c>
      <c r="H63" s="29" t="str">
        <f>IFERROR(__xludf.DUMMYFUNCTION("""COMPUTED_VALUE"""),"http://eduepb.uepb.edu.br/download/principais-tecnicas-agrupamento/?wpdmdl=1133&amp;#038;masterkey=5f3fc9bccfc23")</f>
        <v>http://eduepb.uepb.edu.br/download/principais-tecnicas-agrupamento/?wpdmdl=1133&amp;#038;masterkey=5f3fc9bccfc23</v>
      </c>
      <c r="I63" s="24" t="str">
        <f>IFERROR(__xludf.DUMMYFUNCTION("""COMPUTED_VALUE"""),"Ciências Exatas e da Terra")</f>
        <v>Ciências Exatas e da Terra</v>
      </c>
    </row>
    <row r="64">
      <c r="A64" s="24" t="str">
        <f>IFERROR(__xludf.DUMMYFUNCTION("""COMPUTED_VALUE"""),"Programação para leigos com RASPBERRY PI")</f>
        <v>Programação para leigos com RASPBERRY PI</v>
      </c>
      <c r="B64" s="24" t="str">
        <f>IFERROR(__xludf.DUMMYFUNCTION("""COMPUTED_VALUE"""),"Elivelto Ebermam, Guilherme Moraes Pesente, Renan Osório Rios e Igor Carlos Pulini")</f>
        <v>Elivelto Ebermam, Guilherme Moraes Pesente, Renan Osório Rios e Igor Carlos Pulini</v>
      </c>
      <c r="C64" s="24" t="str">
        <f>IFERROR(__xludf.DUMMYFUNCTION("""COMPUTED_VALUE"""),"João Pessoa")</f>
        <v>João Pessoa</v>
      </c>
      <c r="D64" s="24" t="str">
        <f>IFERROR(__xludf.DUMMYFUNCTION("""COMPUTED_VALUE"""),"Editora IFPB")</f>
        <v>Editora IFPB</v>
      </c>
      <c r="E64" s="25">
        <f>IFERROR(__xludf.DUMMYFUNCTION("""COMPUTED_VALUE"""),2017.0)</f>
        <v>2017</v>
      </c>
      <c r="F64" s="24" t="str">
        <f>IFERROR(__xludf.DUMMYFUNCTION("""COMPUTED_VALUE"""),"Raspberry Pi; Computador; Programação; Microcomputadores")</f>
        <v>Raspberry Pi; Computador; Programação; Microcomputadores</v>
      </c>
      <c r="G64" s="28" t="str">
        <f>IFERROR(__xludf.DUMMYFUNCTION("""COMPUTED_VALUE"""),"9788582632338")</f>
        <v>9788582632338</v>
      </c>
      <c r="H64" s="29" t="str">
        <f>IFERROR(__xludf.DUMMYFUNCTION("""COMPUTED_VALUE"""),"http://editora.ifpb.edu.br/index.php/ifpb/catalog/book/85")</f>
        <v>http://editora.ifpb.edu.br/index.php/ifpb/catalog/book/85</v>
      </c>
      <c r="I64" s="24" t="str">
        <f>IFERROR(__xludf.DUMMYFUNCTION("""COMPUTED_VALUE"""),"Ciências Exatas e da Terra")</f>
        <v>Ciências Exatas e da Terra</v>
      </c>
    </row>
    <row r="65">
      <c r="A65" s="24" t="str">
        <f>IFERROR(__xludf.DUMMYFUNCTION("""COMPUTED_VALUE"""),"Química em tom:: paródias musicais como ferramenta para o ensino de química")</f>
        <v>Química em tom:: paródias musicais como ferramenta para o ensino de química</v>
      </c>
      <c r="B65" s="24" t="str">
        <f>IFERROR(__xludf.DUMMYFUNCTION("""COMPUTED_VALUE"""),"Rita di Pace, Elaine Vasconcelos, Diego Gomes da Silva e Henrique Guedes Formiga")</f>
        <v>Rita di Pace, Elaine Vasconcelos, Diego Gomes da Silva e Henrique Guedes Formiga</v>
      </c>
      <c r="C65" s="24" t="str">
        <f>IFERROR(__xludf.DUMMYFUNCTION("""COMPUTED_VALUE"""),"João Pessoa")</f>
        <v>João Pessoa</v>
      </c>
      <c r="D65" s="24" t="str">
        <f>IFERROR(__xludf.DUMMYFUNCTION("""COMPUTED_VALUE"""),"Editora IFPB")</f>
        <v>Editora IFPB</v>
      </c>
      <c r="E65" s="25">
        <f>IFERROR(__xludf.DUMMYFUNCTION("""COMPUTED_VALUE"""),2019.0)</f>
        <v>2019</v>
      </c>
      <c r="F65" s="24" t="str">
        <f>IFERROR(__xludf.DUMMYFUNCTION("""COMPUTED_VALUE"""),"Ensino de química; Música; Ferramenta de ensino; Paródias músicais")</f>
        <v>Ensino de química; Música; Ferramenta de ensino; Paródias músicais</v>
      </c>
      <c r="G65" s="28" t="str">
        <f>IFERROR(__xludf.DUMMYFUNCTION("""COMPUTED_VALUE"""),"9788554490201")</f>
        <v>9788554490201</v>
      </c>
      <c r="H65" s="29" t="str">
        <f>IFERROR(__xludf.DUMMYFUNCTION("""COMPUTED_VALUE"""),"http://editora.ifpb.edu.br/index.php/ifpb/catalog/book/233")</f>
        <v>http://editora.ifpb.edu.br/index.php/ifpb/catalog/book/233</v>
      </c>
      <c r="I65" s="24" t="str">
        <f>IFERROR(__xludf.DUMMYFUNCTION("""COMPUTED_VALUE"""),"Ciências Exatas e da Terra")</f>
        <v>Ciências Exatas e da Terra</v>
      </c>
    </row>
    <row r="66">
      <c r="A66" s="24" t="str">
        <f>IFERROR(__xludf.DUMMYFUNCTION("""COMPUTED_VALUE"""),"R para cientistas sociais")</f>
        <v>R para cientistas sociais</v>
      </c>
      <c r="B66" s="24" t="str">
        <f>IFERROR(__xludf.DUMMYFUNCTION("""COMPUTED_VALUE"""),"Jakson Alves de Aquino")</f>
        <v>Jakson Alves de Aquino</v>
      </c>
      <c r="C66" s="24" t="str">
        <f>IFERROR(__xludf.DUMMYFUNCTION("""COMPUTED_VALUE"""),"Ilhéus, BA")</f>
        <v>Ilhéus, BA</v>
      </c>
      <c r="D66" s="24" t="str">
        <f>IFERROR(__xludf.DUMMYFUNCTION("""COMPUTED_VALUE"""),"Editus")</f>
        <v>Editus</v>
      </c>
      <c r="E66" s="25">
        <f>IFERROR(__xludf.DUMMYFUNCTION("""COMPUTED_VALUE"""),2014.0)</f>
        <v>2014</v>
      </c>
      <c r="F66" s="24" t="str">
        <f>IFERROR(__xludf.DUMMYFUNCTION("""COMPUTED_VALUE"""),"Programas de computador; Linguagem de programação (Computadores); Ciências sociais –; Métodos estatísticos; Cientistas sociais")</f>
        <v>Programas de computador; Linguagem de programação (Computadores); Ciências sociais –; Métodos estatísticos; Cientistas sociais</v>
      </c>
      <c r="G66" s="28" t="str">
        <f>IFERROR(__xludf.DUMMYFUNCTION("""COMPUTED_VALUE"""),"9788574553696")</f>
        <v>9788574553696</v>
      </c>
      <c r="H66" s="29" t="str">
        <f>IFERROR(__xludf.DUMMYFUNCTION("""COMPUTED_VALUE"""),"http://www.uesc.br/editora/livrosdigitais_20140513/r_cientistas.pdf")</f>
        <v>http://www.uesc.br/editora/livrosdigitais_20140513/r_cientistas.pdf</v>
      </c>
      <c r="I66" s="24" t="str">
        <f>IFERROR(__xludf.DUMMYFUNCTION("""COMPUTED_VALUE"""),"Ciências Exatas e da Terra")</f>
        <v>Ciências Exatas e da Terra</v>
      </c>
    </row>
    <row r="67">
      <c r="A67" s="24" t="str">
        <f>IFERROR(__xludf.DUMMYFUNCTION("""COMPUTED_VALUE"""),"Redução do consumo de energia em codificadores de vídeo digitais: algoritmos e arquiteturas para a compressão de quadros de referência")</f>
        <v>Redução do consumo de energia em codificadores de vídeo digitais: algoritmos e arquiteturas para a compressão de quadros de referência</v>
      </c>
      <c r="B67" s="24" t="str">
        <f>IFERROR(__xludf.DUMMYFUNCTION("""COMPUTED_VALUE"""),"Soares, Dieison; ")</f>
        <v>Soares, Dieison; </v>
      </c>
      <c r="C67" s="24" t="str">
        <f>IFERROR(__xludf.DUMMYFUNCTION("""COMPUTED_VALUE"""),"Pelotas")</f>
        <v>Pelotas</v>
      </c>
      <c r="D67" s="24" t="str">
        <f>IFERROR(__xludf.DUMMYFUNCTION("""COMPUTED_VALUE"""),"UFPel")</f>
        <v>UFPel</v>
      </c>
      <c r="E67" s="25">
        <f>IFERROR(__xludf.DUMMYFUNCTION("""COMPUTED_VALUE"""),2017.0)</f>
        <v>2017</v>
      </c>
      <c r="F67" s="24" t="str">
        <f>IFERROR(__xludf.DUMMYFUNCTION("""COMPUTED_VALUE"""),"Algoritmos; Arquiteturas do codec; Video digital; Codificação de vídeo")</f>
        <v>Algoritmos; Arquiteturas do codec; Video digital; Codificação de vídeo</v>
      </c>
      <c r="G67" s="28" t="str">
        <f>IFERROR(__xludf.DUMMYFUNCTION("""COMPUTED_VALUE"""),"9788551700020")</f>
        <v>9788551700020</v>
      </c>
      <c r="H67" s="29" t="str">
        <f>IFERROR(__xludf.DUMMYFUNCTION("""COMPUTED_VALUE"""),"http://repositorio.ufpel.edu.br:8080/bitstream/prefix/3798/1/2_REDU%c3%87%c3%83O%20DO%20CONSUMO%20DE%20ENERGIA%20EM%20CODIFICADORES%20DE%20V%c3%8dDEO%20DIGITAIS_S%c3%89RIE%20P%c3%93S%20GRADUA%c3%87%c3%83O.pdf")</f>
        <v>http://repositorio.ufpel.edu.br:8080/bitstream/prefix/3798/1/2_REDU%c3%87%c3%83O%20DO%20CONSUMO%20DE%20ENERGIA%20EM%20CODIFICADORES%20DE%20V%c3%8dDEO%20DIGITAIS_S%c3%89RIE%20P%c3%93S%20GRADUA%c3%87%c3%83O.pdf</v>
      </c>
      <c r="I67" s="24" t="str">
        <f>IFERROR(__xludf.DUMMYFUNCTION("""COMPUTED_VALUE"""),"Ciências Exatas e da Terra")</f>
        <v>Ciências Exatas e da Terra</v>
      </c>
    </row>
    <row r="68">
      <c r="A68" s="24" t="str">
        <f>IFERROR(__xludf.DUMMYFUNCTION("""COMPUTED_VALUE"""),"Sistema de modelagem costeira do Brasil: estudos de caso")</f>
        <v>Sistema de modelagem costeira do Brasil: estudos de caso</v>
      </c>
      <c r="B68" s="24" t="str">
        <f>IFERROR(__xludf.DUMMYFUNCTION("""COMPUTED_VALUE"""),"Dalinghaus, Charline et al.")</f>
        <v>Dalinghaus, Charline et al.</v>
      </c>
      <c r="C68" s="24" t="str">
        <f>IFERROR(__xludf.DUMMYFUNCTION("""COMPUTED_VALUE"""),"Florianópolis")</f>
        <v>Florianópolis</v>
      </c>
      <c r="D68" s="24" t="str">
        <f>IFERROR(__xludf.DUMMYFUNCTION("""COMPUTED_VALUE"""),"Editora da UFSC")</f>
        <v>Editora da UFSC</v>
      </c>
      <c r="E68" s="25">
        <f>IFERROR(__xludf.DUMMYFUNCTION("""COMPUTED_VALUE"""),2018.0)</f>
        <v>2018</v>
      </c>
      <c r="F68" s="24" t="str">
        <f>IFERROR(__xludf.DUMMYFUNCTION("""COMPUTED_VALUE"""),"Oceanografia;Meio ambiente;Geociências")</f>
        <v>Oceanografia;Meio ambiente;Geociências</v>
      </c>
      <c r="G68" s="28" t="str">
        <f>IFERROR(__xludf.DUMMYFUNCTION("""COMPUTED_VALUE"""),"9788532808356")</f>
        <v>9788532808356</v>
      </c>
      <c r="H68" s="29" t="str">
        <f>IFERROR(__xludf.DUMMYFUNCTION("""COMPUTED_VALUE"""),"https://repositorio.ufsc.br/handle/123456789/194405")</f>
        <v>https://repositorio.ufsc.br/handle/123456789/194405</v>
      </c>
      <c r="I68" s="24" t="str">
        <f>IFERROR(__xludf.DUMMYFUNCTION("""COMPUTED_VALUE"""),"Ciências Exatas e da Terra")</f>
        <v>Ciências Exatas e da Terra</v>
      </c>
    </row>
    <row r="69">
      <c r="A69" s="24" t="str">
        <f>IFERROR(__xludf.DUMMYFUNCTION("""COMPUTED_VALUE"""),"Structure formation in an expanding universe")</f>
        <v>Structure formation in an expanding universe</v>
      </c>
      <c r="B69" s="24" t="str">
        <f>IFERROR(__xludf.DUMMYFUNCTION("""COMPUTED_VALUE"""),"Júlio Cesar Fabris, Oliver F. Piatella, Davi C. Rodrigues, Winfried Zimdahl, editores")</f>
        <v>Júlio Cesar Fabris, Oliver F. Piatella, Davi C. Rodrigues, Winfried Zimdahl, editores</v>
      </c>
      <c r="C69" s="24" t="str">
        <f>IFERROR(__xludf.DUMMYFUNCTION("""COMPUTED_VALUE"""),"Vitória")</f>
        <v>Vitória</v>
      </c>
      <c r="D69" s="24" t="str">
        <f>IFERROR(__xludf.DUMMYFUNCTION("""COMPUTED_VALUE"""),"EDUFES")</f>
        <v>EDUFES</v>
      </c>
      <c r="E69" s="25">
        <f>IFERROR(__xludf.DUMMYFUNCTION("""COMPUTED_VALUE"""),2014.0)</f>
        <v>2014</v>
      </c>
      <c r="F69" s="24" t="str">
        <f>IFERROR(__xludf.DUMMYFUNCTION("""COMPUTED_VALUE"""),"Cosmologia; Gravitação; Universo em expansão; Astronomia; Astrofísica")</f>
        <v>Cosmologia; Gravitação; Universo em expansão; Astronomia; Astrofísica</v>
      </c>
      <c r="G69" s="28" t="str">
        <f>IFERROR(__xludf.DUMMYFUNCTION("""COMPUTED_VALUE"""),"9788577721917")</f>
        <v>9788577721917</v>
      </c>
      <c r="H69" s="29" t="str">
        <f>IFERROR(__xludf.DUMMYFUNCTION("""COMPUTED_VALUE"""),"http://repositorio.ufes.br/handle/10/1161")</f>
        <v>http://repositorio.ufes.br/handle/10/1161</v>
      </c>
      <c r="I69" s="24" t="str">
        <f>IFERROR(__xludf.DUMMYFUNCTION("""COMPUTED_VALUE"""),"Ciências Exatas e da Terra")</f>
        <v>Ciências Exatas e da Terra</v>
      </c>
    </row>
    <row r="70">
      <c r="A70" s="24" t="str">
        <f>IFERROR(__xludf.DUMMYFUNCTION("""COMPUTED_VALUE"""),"Tecnologia e Rede de Computadores – 3º edição")</f>
        <v>Tecnologia e Rede de Computadores – 3º edição</v>
      </c>
      <c r="B70" s="24" t="str">
        <f>IFERROR(__xludf.DUMMYFUNCTION("""COMPUTED_VALUE"""),"Vanderlei Freitas Junior, Gabriel Cesar Costa, Vinicius dos Santos Fernandes")</f>
        <v>Vanderlei Freitas Junior, Gabriel Cesar Costa, Vinicius dos Santos Fernandes</v>
      </c>
      <c r="C70" s="24" t="str">
        <f>IFERROR(__xludf.DUMMYFUNCTION("""COMPUTED_VALUE"""),"Blumenau")</f>
        <v>Blumenau</v>
      </c>
      <c r="D70" s="24" t="str">
        <f>IFERROR(__xludf.DUMMYFUNCTION("""COMPUTED_VALUE"""),"Instituto Federal Catarinense")</f>
        <v>Instituto Federal Catarinense</v>
      </c>
      <c r="E70" s="25">
        <f>IFERROR(__xludf.DUMMYFUNCTION("""COMPUTED_VALUE"""),2017.0)</f>
        <v>2017</v>
      </c>
      <c r="F70" s="24" t="str">
        <f>IFERROR(__xludf.DUMMYFUNCTION("""COMPUTED_VALUE"""),"Redes de Computadores. Tecnologia da Informação e Comunicação")</f>
        <v>Redes de Computadores. Tecnologia da Informação e Comunicação</v>
      </c>
      <c r="G70" s="28" t="str">
        <f>IFERROR(__xludf.DUMMYFUNCTION("""COMPUTED_VALUE"""),"9788556440136")</f>
        <v>9788556440136</v>
      </c>
      <c r="H70" s="29" t="str">
        <f>IFERROR(__xludf.DUMMYFUNCTION("""COMPUTED_VALUE"""),"https://editora.ifc.edu.br/2017/12/18/tecnologia-e-rede-de-computadores-3o-edicao/")</f>
        <v>https://editora.ifc.edu.br/2017/12/18/tecnologia-e-rede-de-computadores-3o-edicao/</v>
      </c>
      <c r="I70" s="24" t="str">
        <f>IFERROR(__xludf.DUMMYFUNCTION("""COMPUTED_VALUE"""),"Ciências Exatas e da Terra")</f>
        <v>Ciências Exatas e da Terra</v>
      </c>
    </row>
    <row r="71">
      <c r="A71" s="24" t="str">
        <f>IFERROR(__xludf.DUMMYFUNCTION("""COMPUTED_VALUE"""),"Temáticas e pesquisas em ensino de Química no estado do Paraná*")</f>
        <v>Temáticas e pesquisas em ensino de Química no estado do Paraná*</v>
      </c>
      <c r="B71" s="24" t="str">
        <f>IFERROR(__xludf.DUMMYFUNCTION("""COMPUTED_VALUE"""),"Leila Ines Follman Ferreira; Franciellen Rodrigues da Costa.")</f>
        <v>Leila Ines Follman Ferreira; Franciellen Rodrigues da Costa.</v>
      </c>
      <c r="C71" s="24" t="str">
        <f>IFERROR(__xludf.DUMMYFUNCTION("""COMPUTED_VALUE"""),"Ponta Grossa")</f>
        <v>Ponta Grossa</v>
      </c>
      <c r="D71" s="24" t="str">
        <f>IFERROR(__xludf.DUMMYFUNCTION("""COMPUTED_VALUE"""),"Editora UEPG")</f>
        <v>Editora UEPG</v>
      </c>
      <c r="E71" s="25">
        <f>IFERROR(__xludf.DUMMYFUNCTION("""COMPUTED_VALUE"""),2019.0)</f>
        <v>2019</v>
      </c>
      <c r="F71" s="24" t="str">
        <f>IFERROR(__xludf.DUMMYFUNCTION("""COMPUTED_VALUE"""),"Química - Estudo e ensino")</f>
        <v>Química - Estudo e ensino</v>
      </c>
      <c r="G71" s="28" t="str">
        <f>IFERROR(__xludf.DUMMYFUNCTION("""COMPUTED_VALUE"""),"9878577982493")</f>
        <v>9878577982493</v>
      </c>
      <c r="H71" s="29" t="str">
        <f>IFERROR(__xludf.DUMMYFUNCTION("""COMPUTED_VALUE"""),"https://portal-archipelagus.azurewebsites.net/farol/eduepg/ebook/tematicas-e-pesquisas-em-ensino-de-quimica-no-estado-do-parana/1175287/")</f>
        <v>https://portal-archipelagus.azurewebsites.net/farol/eduepg/ebook/tematicas-e-pesquisas-em-ensino-de-quimica-no-estado-do-parana/1175287/</v>
      </c>
      <c r="I71" s="24" t="str">
        <f>IFERROR(__xludf.DUMMYFUNCTION("""COMPUTED_VALUE"""),"Ciências Exatas e da Terra")</f>
        <v>Ciências Exatas e da Terra</v>
      </c>
    </row>
    <row r="72">
      <c r="A72" s="24" t="str">
        <f>IFERROR(__xludf.DUMMYFUNCTION("""COMPUTED_VALUE"""),"Teoria elementar dos números e suas aplicações em várias situações do cotidiano")</f>
        <v>Teoria elementar dos números e suas aplicações em várias situações do cotidiano</v>
      </c>
      <c r="B72" s="24"/>
      <c r="C72" s="24" t="str">
        <f>IFERROR(__xludf.DUMMYFUNCTION("""COMPUTED_VALUE"""),"Campina Grande")</f>
        <v>Campina Grande</v>
      </c>
      <c r="D72" s="24" t="str">
        <f>IFERROR(__xludf.DUMMYFUNCTION("""COMPUTED_VALUE"""),"EDUEPB")</f>
        <v>EDUEPB</v>
      </c>
      <c r="E72" s="25">
        <f>IFERROR(__xludf.DUMMYFUNCTION("""COMPUTED_VALUE"""),2019.0)</f>
        <v>2019</v>
      </c>
      <c r="F72" s="24" t="str">
        <f>IFERROR(__xludf.DUMMYFUNCTION("""COMPUTED_VALUE"""),"Matemática (Ensino Médio); Matemática (Ensino fundamental); Matemática aplicada-cotidiano; Teoremá de Sebá; Teorema de Fermat")</f>
        <v>Matemática (Ensino Médio); Matemática (Ensino fundamental); Matemática aplicada-cotidiano; Teoremá de Sebá; Teorema de Fermat</v>
      </c>
      <c r="G72" s="28" t="str">
        <f>IFERROR(__xludf.DUMMYFUNCTION("""COMPUTED_VALUE"""),"9788578795382; 9788578795436")</f>
        <v>9788578795382; 9788578795436</v>
      </c>
      <c r="H72" s="29" t="str">
        <f>IFERROR(__xludf.DUMMYFUNCTION("""COMPUTED_VALUE"""),"http://eduepb.uepb.edu.br/download/teoria-elementar-dos-numeros-e-suas-aplicac%cc%a7o%cc%83es-em-varias-situac%cc%a7o%cc%83es-do-cotidiano/?wpdmdl=663&amp;amp;masterkey=5cb482bcc008b")</f>
        <v>http://eduepb.uepb.edu.br/download/teoria-elementar-dos-numeros-e-suas-aplicac%cc%a7o%cc%83es-em-varias-situac%cc%a7o%cc%83es-do-cotidiano/?wpdmdl=663&amp;amp;masterkey=5cb482bcc008b</v>
      </c>
      <c r="I72" s="24" t="str">
        <f>IFERROR(__xludf.DUMMYFUNCTION("""COMPUTED_VALUE"""),"Ciências Exatas e da Terra")</f>
        <v>Ciências Exatas e da Terra</v>
      </c>
    </row>
    <row r="73">
      <c r="A73" s="24" t="str">
        <f>IFERROR(__xludf.DUMMYFUNCTION("""COMPUTED_VALUE"""),"Thomas Edison, o gênio da lâmpada. ")</f>
        <v>Thomas Edison, o gênio da lâmpada. </v>
      </c>
      <c r="B73" s="24" t="str">
        <f>IFERROR(__xludf.DUMMYFUNCTION("""COMPUTED_VALUE"""),"Fernanda L. A. Camacho; ilustração de Pedro Esteves. ")</f>
        <v>Fernanda L. A. Camacho; ilustração de Pedro Esteves. </v>
      </c>
      <c r="C73" s="24" t="str">
        <f>IFERROR(__xludf.DUMMYFUNCTION("""COMPUTED_VALUE"""),"Niterói, RJ")</f>
        <v>Niterói, RJ</v>
      </c>
      <c r="D73" s="24" t="str">
        <f>IFERROR(__xludf.DUMMYFUNCTION("""COMPUTED_VALUE"""),"Editora da UFF")</f>
        <v>Editora da UFF</v>
      </c>
      <c r="E73" s="25">
        <f>IFERROR(__xludf.DUMMYFUNCTION("""COMPUTED_VALUE"""),2011.0)</f>
        <v>2011</v>
      </c>
      <c r="F73" s="24" t="str">
        <f>IFERROR(__xludf.DUMMYFUNCTION("""COMPUTED_VALUE"""),"Ciências (Ensino fundamental); Conto")</f>
        <v>Ciências (Ensino fundamental); Conto</v>
      </c>
      <c r="G73" s="28" t="str">
        <f>IFERROR(__xludf.DUMMYFUNCTION("""COMPUTED_VALUE"""),"9788522807345")</f>
        <v>9788522807345</v>
      </c>
      <c r="H73" s="29" t="str">
        <f>IFERROR(__xludf.DUMMYFUNCTION("""COMPUTED_VALUE"""),"http://www.eduff.uff.br/ebooks/Thomas-Edison-o-genio-da-lampada.pdf")</f>
        <v>http://www.eduff.uff.br/ebooks/Thomas-Edison-o-genio-da-lampada.pdf</v>
      </c>
      <c r="I73" s="24" t="str">
        <f>IFERROR(__xludf.DUMMYFUNCTION("""COMPUTED_VALUE"""),"Ciências Exatas e da Terra")</f>
        <v>Ciências Exatas e da Terra</v>
      </c>
    </row>
    <row r="74">
      <c r="A74" s="24" t="str">
        <f>IFERROR(__xludf.DUMMYFUNCTION("""COMPUTED_VALUE"""),"Tinn-R Editor – GUI for R Language and Environment")</f>
        <v>Tinn-R Editor – GUI for R Language and Environment</v>
      </c>
      <c r="B74" s="24" t="str">
        <f>IFERROR(__xludf.DUMMYFUNCTION("""COMPUTED_VALUE"""),"José Cláudio Faria (et al.).")</f>
        <v>José Cláudio Faria (et al.).</v>
      </c>
      <c r="C74" s="24" t="str">
        <f>IFERROR(__xludf.DUMMYFUNCTION("""COMPUTED_VALUE"""),"Ilhéus, BA")</f>
        <v>Ilhéus, BA</v>
      </c>
      <c r="D74" s="24" t="str">
        <f>IFERROR(__xludf.DUMMYFUNCTION("""COMPUTED_VALUE"""),"Editus")</f>
        <v>Editus</v>
      </c>
      <c r="E74" s="25">
        <f>IFERROR(__xludf.DUMMYFUNCTION("""COMPUTED_VALUE"""),2014.0)</f>
        <v>2014</v>
      </c>
      <c r="F74" s="24" t="str">
        <f>IFERROR(__xludf.DUMMYFUNCTION("""COMPUTED_VALUE"""),"Editor de textos (Programas de computador); Tinn-R (Programa de computador)")</f>
        <v>Editor de textos (Programas de computador); Tinn-R (Programa de computador)</v>
      </c>
      <c r="G74" s="28" t="str">
        <f>IFERROR(__xludf.DUMMYFUNCTION("""COMPUTED_VALUE"""),"9788574553429")</f>
        <v>9788574553429</v>
      </c>
      <c r="H74" s="29" t="str">
        <f>IFERROR(__xludf.DUMMYFUNCTION("""COMPUTED_VALUE"""),"http://www.uesc.br/editora/livrosdigitais2/tredit.pdf")</f>
        <v>http://www.uesc.br/editora/livrosdigitais2/tredit.pdf</v>
      </c>
      <c r="I74" s="24" t="str">
        <f>IFERROR(__xludf.DUMMYFUNCTION("""COMPUTED_VALUE"""),"Ciências Exatas e da Terra")</f>
        <v>Ciências Exatas e da Terra</v>
      </c>
    </row>
    <row r="75">
      <c r="A75" s="24" t="str">
        <f>IFERROR(__xludf.DUMMYFUNCTION("""COMPUTED_VALUE"""),"Todo dia é dia de ciência: ar, água e solo")</f>
        <v>Todo dia é dia de ciência: ar, água e solo</v>
      </c>
      <c r="B75" s="24" t="str">
        <f>IFERROR(__xludf.DUMMYFUNCTION("""COMPUTED_VALUE"""),"Mirley Luciene dos Santos (org.)")</f>
        <v>Mirley Luciene dos Santos (org.)</v>
      </c>
      <c r="C75" s="24" t="str">
        <f>IFERROR(__xludf.DUMMYFUNCTION("""COMPUTED_VALUE"""),"Anápolis")</f>
        <v>Anápolis</v>
      </c>
      <c r="D75" s="24" t="str">
        <f>IFERROR(__xludf.DUMMYFUNCTION("""COMPUTED_VALUE"""),"UEG")</f>
        <v>UEG</v>
      </c>
      <c r="E75" s="25">
        <f>IFERROR(__xludf.DUMMYFUNCTION("""COMPUTED_VALUE"""),2016.0)</f>
        <v>2016</v>
      </c>
      <c r="F75" s="24" t="str">
        <f>IFERROR(__xludf.DUMMYFUNCTION("""COMPUTED_VALUE"""),"Educação; Ensino; Ciência; Ensino de Ciência; Atividade científica")</f>
        <v>Educação; Ensino; Ciência; Ensino de Ciência; Atividade científica</v>
      </c>
      <c r="G75" s="28" t="str">
        <f>IFERROR(__xludf.DUMMYFUNCTION("""COMPUTED_VALUE"""),"9788555820199")</f>
        <v>9788555820199</v>
      </c>
      <c r="H75" s="29" t="str">
        <f>IFERROR(__xludf.DUMMYFUNCTION("""COMPUTED_VALUE"""),"http://cdn.ueg.edu.br/source/editora_ueg/conteudo_compartilhado/11012/Todo_dia_e_dia_de_ciencia_livro_1_agua_ar_solo.pdf")</f>
        <v>http://cdn.ueg.edu.br/source/editora_ueg/conteudo_compartilhado/11012/Todo_dia_e_dia_de_ciencia_livro_1_agua_ar_solo.pdf</v>
      </c>
      <c r="I75" s="24" t="str">
        <f>IFERROR(__xludf.DUMMYFUNCTION("""COMPUTED_VALUE"""),"Ciências Exatas e da Terra")</f>
        <v>Ciências Exatas e da Terra</v>
      </c>
    </row>
    <row r="76">
      <c r="A76" s="24" t="str">
        <f>IFERROR(__xludf.DUMMYFUNCTION("""COMPUTED_VALUE"""),"Tópicos de físico-química")</f>
        <v>Tópicos de físico-química</v>
      </c>
      <c r="B76" s="24" t="str">
        <f>IFERROR(__xludf.DUMMYFUNCTION("""COMPUTED_VALUE"""),"Schifino, Jose ")</f>
        <v>Schifino, Jose </v>
      </c>
      <c r="C76" s="24" t="str">
        <f>IFERROR(__xludf.DUMMYFUNCTION("""COMPUTED_VALUE"""),"Porto Alegre")</f>
        <v>Porto Alegre</v>
      </c>
      <c r="D76" s="24" t="str">
        <f>IFERROR(__xludf.DUMMYFUNCTION("""COMPUTED_VALUE"""),"UFRGS")</f>
        <v>UFRGS</v>
      </c>
      <c r="E76" s="25">
        <f>IFERROR(__xludf.DUMMYFUNCTION("""COMPUTED_VALUE"""),2013.0)</f>
        <v>2013</v>
      </c>
      <c r="F76" s="24" t="str">
        <f>IFERROR(__xludf.DUMMYFUNCTION("""COMPUTED_VALUE"""),"Adsorção; Cinética química; Teoria cinetica dos gases")</f>
        <v>Adsorção; Cinética química; Teoria cinetica dos gases</v>
      </c>
      <c r="G76" s="28" t="str">
        <f>IFERROR(__xludf.DUMMYFUNCTION("""COMPUTED_VALUE"""),"9788538602071")</f>
        <v>9788538602071</v>
      </c>
      <c r="H76" s="29" t="str">
        <f>IFERROR(__xludf.DUMMYFUNCTION("""COMPUTED_VALUE"""),"http://hdl.handle.net/10183/213321")</f>
        <v>http://hdl.handle.net/10183/213321</v>
      </c>
      <c r="I76" s="24" t="str">
        <f>IFERROR(__xludf.DUMMYFUNCTION("""COMPUTED_VALUE"""),"Ciências Exatas e da Terra")</f>
        <v>Ciências Exatas e da Terra</v>
      </c>
    </row>
    <row r="77">
      <c r="A77" s="24" t="str">
        <f>IFERROR(__xludf.DUMMYFUNCTION("""COMPUTED_VALUE"""),"Topografia Geral")</f>
        <v>Topografia Geral</v>
      </c>
      <c r="B77" s="24" t="str">
        <f>IFERROR(__xludf.DUMMYFUNCTION("""COMPUTED_VALUE"""),"José Machado Coelho Júnior et al")</f>
        <v>José Machado Coelho Júnior et al</v>
      </c>
      <c r="C77" s="24" t="str">
        <f>IFERROR(__xludf.DUMMYFUNCTION("""COMPUTED_VALUE"""),"Recife")</f>
        <v>Recife</v>
      </c>
      <c r="D77" s="24" t="str">
        <f>IFERROR(__xludf.DUMMYFUNCTION("""COMPUTED_VALUE"""),"Editora Universitária da UFRPE")</f>
        <v>Editora Universitária da UFRPE</v>
      </c>
      <c r="E77" s="25">
        <f>IFERROR(__xludf.DUMMYFUNCTION("""COMPUTED_VALUE"""),2014.0)</f>
        <v>2014</v>
      </c>
      <c r="F77" s="24" t="str">
        <f>IFERROR(__xludf.DUMMYFUNCTION("""COMPUTED_VALUE"""),"Planimetria; Altimetria; Levantamento topográfico; Locação topográfica; Automação topográfica")</f>
        <v>Planimetria; Altimetria; Levantamento topográfico; Locação topográfica; Automação topográfica</v>
      </c>
      <c r="G77" s="28" t="str">
        <f>IFERROR(__xludf.DUMMYFUNCTION("""COMPUTED_VALUE"""),"9788579461828")</f>
        <v>9788579461828</v>
      </c>
      <c r="H77" s="29" t="str">
        <f>IFERROR(__xludf.DUMMYFUNCTION("""COMPUTED_VALUE"""),"https://www.dropbox.com/s/qlxprem8cu5bnhe/TopografiaGeral.pdf")</f>
        <v>https://www.dropbox.com/s/qlxprem8cu5bnhe/TopografiaGeral.pdf</v>
      </c>
      <c r="I77" s="24" t="str">
        <f>IFERROR(__xludf.DUMMYFUNCTION("""COMPUTED_VALUE"""),"Ciências Exatas e da Terra")</f>
        <v>Ciências Exatas e da Terra</v>
      </c>
    </row>
    <row r="78">
      <c r="A78" s="24" t="str">
        <f>IFERROR(__xludf.DUMMYFUNCTION("""COMPUTED_VALUE"""),"Turma do Geoparquito em: sonhando com um geoparque no Sul do Brasil")</f>
        <v>Turma do Geoparquito em: sonhando com um geoparque no Sul do Brasil</v>
      </c>
      <c r="B78" s="24" t="str">
        <f>IFERROR(__xludf.DUMMYFUNCTION("""COMPUTED_VALUE"""),"Dalpiás, Jucélia Tramontin; Ladwig, Nilzo Ivo; Campos, Juliano Bitencourt")</f>
        <v>Dalpiás, Jucélia Tramontin; Ladwig, Nilzo Ivo; Campos, Juliano Bitencourt</v>
      </c>
      <c r="C78" s="24" t="str">
        <f>IFERROR(__xludf.DUMMYFUNCTION("""COMPUTED_VALUE"""),"Criciúma")</f>
        <v>Criciúma</v>
      </c>
      <c r="D78" s="24" t="str">
        <f>IFERROR(__xludf.DUMMYFUNCTION("""COMPUTED_VALUE"""),"UNESC")</f>
        <v>UNESC</v>
      </c>
      <c r="E78" s="25">
        <f>IFERROR(__xludf.DUMMYFUNCTION("""COMPUTED_VALUE"""),2019.0)</f>
        <v>2019</v>
      </c>
      <c r="F78" s="24" t="str">
        <f>IFERROR(__xludf.DUMMYFUNCTION("""COMPUTED_VALUE"""),"Histórias em quadrinhos; Geoparques – Brasil, Sul - Histórias em quadrinhos; Patrimônio geológico; Material didático")</f>
        <v>Histórias em quadrinhos; Geoparques – Brasil, Sul - Histórias em quadrinhos; Patrimônio geológico; Material didático</v>
      </c>
      <c r="G78" s="28" t="str">
        <f>IFERROR(__xludf.DUMMYFUNCTION("""COMPUTED_VALUE"""),"9788584101177")</f>
        <v>9788584101177</v>
      </c>
      <c r="H78" s="29" t="str">
        <f>IFERROR(__xludf.DUMMYFUNCTION("""COMPUTED_VALUE"""),"http://repositorio.unesc.net/handle/1/7252")</f>
        <v>http://repositorio.unesc.net/handle/1/7252</v>
      </c>
      <c r="I78" s="24" t="str">
        <f>IFERROR(__xludf.DUMMYFUNCTION("""COMPUTED_VALUE"""),"Ciências Exatas e da Terra")</f>
        <v>Ciências Exatas e da Terra</v>
      </c>
    </row>
    <row r="79">
      <c r="A79" s="24" t="str">
        <f>IFERROR(__xludf.DUMMYFUNCTION("""COMPUTED_VALUE"""),"Vivências e Experiências na Formação Inicial de Matemática")</f>
        <v>Vivências e Experiências na Formação Inicial de Matemática</v>
      </c>
      <c r="B79" s="24" t="str">
        <f>IFERROR(__xludf.DUMMYFUNCTION("""COMPUTED_VALUE"""),"Morgana Scheller. Fátima Peres Zago de Oliveira. Paula Andrea Grawieski Civiero. Rogério Sousa Pires")</f>
        <v>Morgana Scheller. Fátima Peres Zago de Oliveira. Paula Andrea Grawieski Civiero. Rogério Sousa Pires</v>
      </c>
      <c r="C79" s="24" t="str">
        <f>IFERROR(__xludf.DUMMYFUNCTION("""COMPUTED_VALUE"""),"Blumenau")</f>
        <v>Blumenau</v>
      </c>
      <c r="D79" s="24" t="str">
        <f>IFERROR(__xludf.DUMMYFUNCTION("""COMPUTED_VALUE"""),"Instituto Federal Catarinense")</f>
        <v>Instituto Federal Catarinense</v>
      </c>
      <c r="E79" s="25">
        <f>IFERROR(__xludf.DUMMYFUNCTION("""COMPUTED_VALUE"""),2019.0)</f>
        <v>2019</v>
      </c>
      <c r="F79" s="24" t="str">
        <f>IFERROR(__xludf.DUMMYFUNCTION("""COMPUTED_VALUE"""),"Matemática - Ensino")</f>
        <v>Matemática - Ensino</v>
      </c>
      <c r="G79" s="28" t="str">
        <f>IFERROR(__xludf.DUMMYFUNCTION("""COMPUTED_VALUE"""),"9788556440341")</f>
        <v>9788556440341</v>
      </c>
      <c r="H79" s="29" t="str">
        <f>IFERROR(__xludf.DUMMYFUNCTION("""COMPUTED_VALUE"""),"https://editora.ifc.edu.br/2019/11/05/vivencias-e-experiencias-na-formacao-inicial-de-matematica/")</f>
        <v>https://editora.ifc.edu.br/2019/11/05/vivencias-e-experiencias-na-formacao-inicial-de-matematica/</v>
      </c>
      <c r="I79" s="24" t="str">
        <f>IFERROR(__xludf.DUMMYFUNCTION("""COMPUTED_VALUE"""),"Ciências Exatas e da Terra")</f>
        <v>Ciências Exatas e da Terra</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location="038;masterkey=5f4ea89380232"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location="038;masterkey=5e97904980fc9"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location="038;masterkey=5d5d28ebcdeb6" ref="H58"/>
    <hyperlink r:id="rId58" ref="H59"/>
    <hyperlink r:id="rId59" ref="H60"/>
    <hyperlink r:id="rId60" ref="H61"/>
    <hyperlink r:id="rId61" ref="H62"/>
    <hyperlink r:id="rId62" location="038;masterkey=5f3fc9bccfc23"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s>
  <drawing r:id="rId79"/>
  <tableParts count="1">
    <tablePart r:id="rId81"/>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6.29"/>
    <col customWidth="1" min="2" max="2" width="30.43"/>
    <col customWidth="1" min="3" max="3" width="13.86"/>
    <col customWidth="1" min="4" max="4" width="12.43"/>
    <col customWidth="1" min="5" max="5" width="7.57"/>
    <col customWidth="1" min="6" max="6" width="33.43"/>
    <col customWidth="1" min="7" max="7" width="15.14"/>
    <col customWidth="1" min="8" max="8" width="27.57"/>
    <col customWidth="1" hidden="1" min="9" max="9" width="24.0"/>
  </cols>
  <sheetData>
    <row r="1">
      <c r="A1" s="19" t="s">
        <v>23</v>
      </c>
      <c r="B1" s="20" t="s">
        <v>24</v>
      </c>
      <c r="C1" s="20" t="s">
        <v>25</v>
      </c>
      <c r="D1" s="20" t="s">
        <v>26</v>
      </c>
      <c r="E1" s="21" t="s">
        <v>27</v>
      </c>
      <c r="F1" s="20" t="s">
        <v>28</v>
      </c>
      <c r="G1" s="20" t="s">
        <v>29</v>
      </c>
      <c r="H1" s="23" t="s">
        <v>30</v>
      </c>
      <c r="I1" s="20" t="s">
        <v>31</v>
      </c>
    </row>
    <row r="2">
      <c r="A2" s="24" t="str">
        <f>IFERROR(__xludf.DUMMYFUNCTION("IMPORTRANGE(""https://docs.google.com/spreadsheets/d/13YtZlkEQw4W38VCdbK3PbAk4uf6r7LAkUEaRwo0J7Jo/edit#gid=291977917"",""PlanilhaUnificada!B436:J1343"")"),"(Des)integrando refugiados: os processos do reassentamentode palestinos no Brasil")</f>
        <v>(Des)integrando refugiados: os processos do reassentamentode palestinos no Brasil</v>
      </c>
      <c r="B2" s="24" t="str">
        <f>IFERROR(__xludf.DUMMYFUNCTION("""COMPUTED_VALUE"""),"Hamid, Sônia Cristina.")</f>
        <v>Hamid, Sônia Cristina.</v>
      </c>
      <c r="C2" s="24" t="str">
        <f>IFERROR(__xludf.DUMMYFUNCTION("""COMPUTED_VALUE"""),"Brasília")</f>
        <v>Brasília</v>
      </c>
      <c r="D2" s="24" t="str">
        <f>IFERROR(__xludf.DUMMYFUNCTION("""COMPUTED_VALUE"""),"Editora Universidade de Brasília")</f>
        <v>Editora Universidade de Brasília</v>
      </c>
      <c r="E2" s="25">
        <f>IFERROR(__xludf.DUMMYFUNCTION("""COMPUTED_VALUE"""),2019.0)</f>
        <v>2019</v>
      </c>
      <c r="F2" s="24" t="str">
        <f>IFERROR(__xludf.DUMMYFUNCTION("""COMPUTED_VALUE"""),"Refugiados; Refugiados políticos; Palestinos; Integração social; Intervenção humanitária")</f>
        <v>Refugiados; Refugiados políticos; Palestinos; Integração social; Intervenção humanitária</v>
      </c>
      <c r="G2" s="28" t="str">
        <f>IFERROR(__xludf.DUMMYFUNCTION("""COMPUTED_VALUE"""),"9788523009359")</f>
        <v>9788523009359</v>
      </c>
      <c r="H2" s="27" t="str">
        <f>IFERROR(__xludf.DUMMYFUNCTION("""COMPUTED_VALUE"""),"https://livros.unb.br/index.php/portal/catalog/view/16/15/66-2")</f>
        <v>https://livros.unb.br/index.php/portal/catalog/view/16/15/66-2</v>
      </c>
      <c r="I2" s="24" t="str">
        <f>IFERROR(__xludf.DUMMYFUNCTION("""COMPUTED_VALUE"""),"Ciências Humanas")</f>
        <v>Ciências Humanas</v>
      </c>
    </row>
    <row r="3">
      <c r="A3" s="24" t="str">
        <f>IFERROR(__xludf.DUMMYFUNCTION("""COMPUTED_VALUE"""),"(In)Disciplina na escola: cenas da complexidade de um cotidiano escolar")</f>
        <v>(In)Disciplina na escola: cenas da complexidade de um cotidiano escolar</v>
      </c>
      <c r="B3" s="24" t="str">
        <f>IFERROR(__xludf.DUMMYFUNCTION("""COMPUTED_VALUE"""),"Cândida Maria Santos Daltro Alves")</f>
        <v>Cândida Maria Santos Daltro Alves</v>
      </c>
      <c r="C3" s="24" t="str">
        <f>IFERROR(__xludf.DUMMYFUNCTION("""COMPUTED_VALUE"""),"Ilhéus, BA")</f>
        <v>Ilhéus, BA</v>
      </c>
      <c r="D3" s="24" t="str">
        <f>IFERROR(__xludf.DUMMYFUNCTION("""COMPUTED_VALUE"""),"Editus")</f>
        <v>Editus</v>
      </c>
      <c r="E3" s="25">
        <f>IFERROR(__xludf.DUMMYFUNCTION("""COMPUTED_VALUE"""),2006.0)</f>
        <v>2006</v>
      </c>
      <c r="F3" s="24" t="str">
        <f>IFERROR(__xludf.DUMMYFUNCTION("""COMPUTED_VALUE"""),"Disciplina escolar; Prática pedagógica")</f>
        <v>Disciplina escolar; Prática pedagógica</v>
      </c>
      <c r="G3" s="28" t="str">
        <f>IFERROR(__xludf.DUMMYFUNCTION("""COMPUTED_VALUE"""),"8574551082")</f>
        <v>8574551082</v>
      </c>
      <c r="H3" s="27" t="str">
        <f>IFERROR(__xludf.DUMMYFUNCTION("""COMPUTED_VALUE"""),"http://www.uesc.br/editora/livrosdigitais2015/indisciplina_na_escola.pdf")</f>
        <v>http://www.uesc.br/editora/livrosdigitais2015/indisciplina_na_escola.pdf</v>
      </c>
      <c r="I3" s="24" t="str">
        <f>IFERROR(__xludf.DUMMYFUNCTION("""COMPUTED_VALUE"""),"Ciências Humanas")</f>
        <v>Ciências Humanas</v>
      </c>
    </row>
    <row r="4">
      <c r="A4" s="24" t="str">
        <f>IFERROR(__xludf.DUMMYFUNCTION("""COMPUTED_VALUE"""),"50 anos da Universidade Federal Fluminense – 1960-2010")</f>
        <v>50 anos da Universidade Federal Fluminense – 1960-2010</v>
      </c>
      <c r="B4" s="24" t="str">
        <f>IFERROR(__xludf.DUMMYFUNCTION("""COMPUTED_VALUE"""),"Andréa Tello da Corte e Ismênia de Lima Martins (org.)")</f>
        <v>Andréa Tello da Corte e Ismênia de Lima Martins (org.)</v>
      </c>
      <c r="C4" s="24" t="str">
        <f>IFERROR(__xludf.DUMMYFUNCTION("""COMPUTED_VALUE"""),"Niterói, RJ")</f>
        <v>Niterói, RJ</v>
      </c>
      <c r="D4" s="24" t="str">
        <f>IFERROR(__xludf.DUMMYFUNCTION("""COMPUTED_VALUE"""),"Editora da UFF")</f>
        <v>Editora da UFF</v>
      </c>
      <c r="E4" s="25">
        <f>IFERROR(__xludf.DUMMYFUNCTION("""COMPUTED_VALUE"""),2010.0)</f>
        <v>2010</v>
      </c>
      <c r="F4" s="24" t="str">
        <f>IFERROR(__xludf.DUMMYFUNCTION("""COMPUTED_VALUE"""),"Universidade Federal Fluminsnse; História; Reforma universitária no Brasil")</f>
        <v>Universidade Federal Fluminsnse; História; Reforma universitária no Brasil</v>
      </c>
      <c r="G4" s="28" t="str">
        <f>IFERROR(__xludf.DUMMYFUNCTION("""COMPUTED_VALUE"""),"9788522805754")</f>
        <v>9788522805754</v>
      </c>
      <c r="H4" s="27" t="str">
        <f>IFERROR(__xludf.DUMMYFUNCTION("""COMPUTED_VALUE"""),"http://www.eduff.uff.br/ebooks/UFF-50-anos.pdf")</f>
        <v>http://www.eduff.uff.br/ebooks/UFF-50-anos.pdf</v>
      </c>
      <c r="I4" s="24" t="str">
        <f>IFERROR(__xludf.DUMMYFUNCTION("""COMPUTED_VALUE"""),"Ciências Humanas")</f>
        <v>Ciências Humanas</v>
      </c>
    </row>
    <row r="5">
      <c r="A5" s="24" t="str">
        <f>IFERROR(__xludf.DUMMYFUNCTION("""COMPUTED_VALUE"""),"A alma do MST? a prática da mística e a luta pela terra")</f>
        <v>A alma do MST? a prática da mística e a luta pela terra</v>
      </c>
      <c r="B5" s="24" t="str">
        <f>IFERROR(__xludf.DUMMYFUNCTION("""COMPUTED_VALUE"""),"Fabiano Coelho")</f>
        <v>Fabiano Coelho</v>
      </c>
      <c r="C5" s="24" t="str">
        <f>IFERROR(__xludf.DUMMYFUNCTION("""COMPUTED_VALUE"""),"Dourados, MS")</f>
        <v>Dourados, MS</v>
      </c>
      <c r="D5" s="24" t="str">
        <f>IFERROR(__xludf.DUMMYFUNCTION("""COMPUTED_VALUE"""),"Ed. UFGD")</f>
        <v>Ed. UFGD</v>
      </c>
      <c r="E5" s="25">
        <f>IFERROR(__xludf.DUMMYFUNCTION("""COMPUTED_VALUE"""),2014.0)</f>
        <v>2014</v>
      </c>
      <c r="F5" s="24" t="str">
        <f>IFERROR(__xludf.DUMMYFUNCTION("""COMPUTED_VALUE"""),"Movimento dos Trabalhadores Rurais Sem Terra; Mística")</f>
        <v>Movimento dos Trabalhadores Rurais Sem Terra; Mística</v>
      </c>
      <c r="G5" s="28" t="str">
        <f>IFERROR(__xludf.DUMMYFUNCTION("""COMPUTED_VALUE"""),"9788581470603")</f>
        <v>9788581470603</v>
      </c>
      <c r="H5" s="29" t="str">
        <f>IFERROR(__xludf.DUMMYFUNCTION("""COMPUTED_VALUE"""),"http://omp.ufgd.edu.br/omp/index.php/livrosabertos/catalog/view/6/4/21-1")</f>
        <v>http://omp.ufgd.edu.br/omp/index.php/livrosabertos/catalog/view/6/4/21-1</v>
      </c>
      <c r="I5" s="24" t="str">
        <f>IFERROR(__xludf.DUMMYFUNCTION("""COMPUTED_VALUE"""),"Ciências Humanas")</f>
        <v>Ciências Humanas</v>
      </c>
    </row>
    <row r="6">
      <c r="A6" s="24" t="str">
        <f>IFERROR(__xludf.DUMMYFUNCTION("""COMPUTED_VALUE"""),"A América Latina contemporânea: espectros, diversidadese seletividades")</f>
        <v>A América Latina contemporânea: espectros, diversidadese seletividades</v>
      </c>
      <c r="B6" s="24" t="str">
        <f>IFERROR(__xludf.DUMMYFUNCTION("""COMPUTED_VALUE"""),"Guillermo Alfredo Johnson, MarcosAntonio da Silva (org.)")</f>
        <v>Guillermo Alfredo Johnson, MarcosAntonio da Silva (org.)</v>
      </c>
      <c r="C6" s="24" t="str">
        <f>IFERROR(__xludf.DUMMYFUNCTION("""COMPUTED_VALUE"""),"Dourados, MS")</f>
        <v>Dourados, MS</v>
      </c>
      <c r="D6" s="24" t="str">
        <f>IFERROR(__xludf.DUMMYFUNCTION("""COMPUTED_VALUE"""),"Ed. UFGD")</f>
        <v>Ed. UFGD</v>
      </c>
      <c r="E6" s="25">
        <f>IFERROR(__xludf.DUMMYFUNCTION("""COMPUTED_VALUE"""),2016.0)</f>
        <v>2016</v>
      </c>
      <c r="F6" s="24" t="str">
        <f>IFERROR(__xludf.DUMMYFUNCTION("""COMPUTED_VALUE"""),"América Latina; Estado; Política")</f>
        <v>América Latina; Estado; Política</v>
      </c>
      <c r="G6" s="28" t="str">
        <f>IFERROR(__xludf.DUMMYFUNCTION("""COMPUTED_VALUE"""),"9788581471297")</f>
        <v>9788581471297</v>
      </c>
      <c r="H6" s="27" t="str">
        <f>IFERROR(__xludf.DUMMYFUNCTION("""COMPUTED_VALUE"""),"http://omp.ufgd.edu.br/omp/index.php/livrosabertos/catalog/view/33/34/104-2")</f>
        <v>http://omp.ufgd.edu.br/omp/index.php/livrosabertos/catalog/view/33/34/104-2</v>
      </c>
      <c r="I6" s="24" t="str">
        <f>IFERROR(__xludf.DUMMYFUNCTION("""COMPUTED_VALUE"""),"Ciências Humanas")</f>
        <v>Ciências Humanas</v>
      </c>
    </row>
    <row r="7">
      <c r="A7" s="24" t="str">
        <f>IFERROR(__xludf.DUMMYFUNCTION("""COMPUTED_VALUE"""),"A antropologia da academia: quando os índios somos nós.")</f>
        <v>A antropologia da academia: quando os índios somos nós.</v>
      </c>
      <c r="B7" s="24" t="str">
        <f>IFERROR(__xludf.DUMMYFUNCTION("""COMPUTED_VALUE"""),"Roberto Kant de Lima")</f>
        <v>Roberto Kant de Lima</v>
      </c>
      <c r="C7" s="24" t="str">
        <f>IFERROR(__xludf.DUMMYFUNCTION("""COMPUTED_VALUE"""),"Niterói, RJ")</f>
        <v>Niterói, RJ</v>
      </c>
      <c r="D7" s="24" t="str">
        <f>IFERROR(__xludf.DUMMYFUNCTION("""COMPUTED_VALUE"""),"EDUFF")</f>
        <v>EDUFF</v>
      </c>
      <c r="E7" s="25">
        <f>IFERROR(__xludf.DUMMYFUNCTION("""COMPUTED_VALUE"""),1997.0)</f>
        <v>1997</v>
      </c>
      <c r="F7" s="24" t="str">
        <f>IFERROR(__xludf.DUMMYFUNCTION("""COMPUTED_VALUE"""),"Antropologia Social")</f>
        <v>Antropologia Social</v>
      </c>
      <c r="G7" s="28" t="str">
        <f>IFERROR(__xludf.DUMMYFUNCTION("""COMPUTED_VALUE"""),"8522802106")</f>
        <v>8522802106</v>
      </c>
      <c r="H7" s="27" t="str">
        <f>IFERROR(__xludf.DUMMYFUNCTION("""COMPUTED_VALUE"""),"http://www.eduff.uff.br/ebooks/Antropologia-da-academia-Edicao-2.pdf")</f>
        <v>http://www.eduff.uff.br/ebooks/Antropologia-da-academia-Edicao-2.pdf</v>
      </c>
      <c r="I7" s="24" t="str">
        <f>IFERROR(__xludf.DUMMYFUNCTION("""COMPUTED_VALUE"""),"Ciências Humanas")</f>
        <v>Ciências Humanas</v>
      </c>
    </row>
    <row r="8">
      <c r="A8" s="24" t="str">
        <f>IFERROR(__xludf.DUMMYFUNCTION("""COMPUTED_VALUE"""),"A arte de tecer a si mesmo: memórias, refl exões e formação docente")</f>
        <v>A arte de tecer a si mesmo: memórias, refl exões e formação docente</v>
      </c>
      <c r="B8" s="24" t="str">
        <f>IFERROR(__xludf.DUMMYFUNCTION("""COMPUTED_VALUE"""),"Alexandra Marselha Siqueira Pitolli (org.)")</f>
        <v>Alexandra Marselha Siqueira Pitolli (org.)</v>
      </c>
      <c r="C8" s="24" t="str">
        <f>IFERROR(__xludf.DUMMYFUNCTION("""COMPUTED_VALUE"""),"Ilhéus, BA")</f>
        <v>Ilhéus, BA</v>
      </c>
      <c r="D8" s="24" t="str">
        <f>IFERROR(__xludf.DUMMYFUNCTION("""COMPUTED_VALUE"""),"Editus")</f>
        <v>Editus</v>
      </c>
      <c r="E8" s="25">
        <f>IFERROR(__xludf.DUMMYFUNCTION("""COMPUTED_VALUE"""),2018.0)</f>
        <v>2018</v>
      </c>
      <c r="F8" s="24" t="str">
        <f>IFERROR(__xludf.DUMMYFUNCTION("""COMPUTED_VALUE"""),"Professores – Formação; Professores e alunos; Didática (Ensino superior); Ensino – Orientação; profi ssional")</f>
        <v>Professores – Formação; Professores e alunos; Didática (Ensino superior); Ensino – Orientação; profi ssional</v>
      </c>
      <c r="G8" s="28" t="str">
        <f>IFERROR(__xludf.DUMMYFUNCTION("""COMPUTED_VALUE"""),"9788574554693")</f>
        <v>9788574554693</v>
      </c>
      <c r="H8" s="29" t="str">
        <f>IFERROR(__xludf.DUMMYFUNCTION("""COMPUTED_VALUE"""),"http://www.uesc.br/editora/livrosdigitais2019/a_arte_de_tecer_a_si_mesmo.pdf")</f>
        <v>http://www.uesc.br/editora/livrosdigitais2019/a_arte_de_tecer_a_si_mesmo.pdf</v>
      </c>
      <c r="I8" s="24" t="str">
        <f>IFERROR(__xludf.DUMMYFUNCTION("""COMPUTED_VALUE"""),"Ciências Humanas")</f>
        <v>Ciências Humanas</v>
      </c>
    </row>
    <row r="9">
      <c r="A9" s="24" t="str">
        <f>IFERROR(__xludf.DUMMYFUNCTION("""COMPUTED_VALUE"""),"A aventura freudiana: elaboração e desenvolvimento do conceito de inconsciente em Freud")</f>
        <v>A aventura freudiana: elaboração e desenvolvimento do conceito de inconsciente em Freud</v>
      </c>
      <c r="B9" s="24" t="str">
        <f>IFERROR(__xludf.DUMMYFUNCTION("""COMPUTED_VALUE"""),"Carlos Alberto Plastino")</f>
        <v>Carlos Alberto Plastino</v>
      </c>
      <c r="C9" s="24" t="str">
        <f>IFERROR(__xludf.DUMMYFUNCTION("""COMPUTED_VALUE"""),"Rio de Janeiro")</f>
        <v>Rio de Janeiro</v>
      </c>
      <c r="D9" s="24" t="str">
        <f>IFERROR(__xludf.DUMMYFUNCTION("""COMPUTED_VALUE"""),"Editora UFRJ / Tempo Brasileiro")</f>
        <v>Editora UFRJ / Tempo Brasileiro</v>
      </c>
      <c r="E9" s="25">
        <f>IFERROR(__xludf.DUMMYFUNCTION("""COMPUTED_VALUE"""),1993.0)</f>
        <v>1993</v>
      </c>
      <c r="F9" s="24" t="str">
        <f>IFERROR(__xludf.DUMMYFUNCTION("""COMPUTED_VALUE"""),"Freud; Inconsciente; Psicanláise; Saber")</f>
        <v>Freud; Inconsciente; Psicanláise; Saber</v>
      </c>
      <c r="G9" s="28" t="str">
        <f>IFERROR(__xludf.DUMMYFUNCTION("""COMPUTED_VALUE"""),"8571030836")</f>
        <v>8571030836</v>
      </c>
      <c r="H9" s="29" t="str">
        <f>IFERROR(__xludf.DUMMYFUNCTION("""COMPUTED_VALUE"""),"http://www.editora.ufrj.br/DynamicItems/livrosabertos-1/AventuraFreudiana_compressed.pdf")</f>
        <v>http://www.editora.ufrj.br/DynamicItems/livrosabertos-1/AventuraFreudiana_compressed.pdf</v>
      </c>
      <c r="I9" s="24" t="str">
        <f>IFERROR(__xludf.DUMMYFUNCTION("""COMPUTED_VALUE"""),"Ciências Humanas")</f>
        <v>Ciências Humanas</v>
      </c>
    </row>
    <row r="10">
      <c r="A10" s="24" t="str">
        <f>IFERROR(__xludf.DUMMYFUNCTION("""COMPUTED_VALUE"""),"A casa de Rui cheia de encantos")</f>
        <v>A casa de Rui cheia de encantos</v>
      </c>
      <c r="B10" s="24" t="str">
        <f>IFERROR(__xludf.DUMMYFUNCTION("""COMPUTED_VALUE"""),"Domingo Gonzalez Cruz; ")</f>
        <v>Domingo Gonzalez Cruz; </v>
      </c>
      <c r="C10" s="24" t="str">
        <f>IFERROR(__xludf.DUMMYFUNCTION("""COMPUTED_VALUE"""),"Rio de Janeiro")</f>
        <v>Rio de Janeiro</v>
      </c>
      <c r="D10" s="24" t="str">
        <f>IFERROR(__xludf.DUMMYFUNCTION("""COMPUTED_VALUE"""),"Fundação Casa de Rui Barbosa")</f>
        <v>Fundação Casa de Rui Barbosa</v>
      </c>
      <c r="E10" s="25">
        <f>IFERROR(__xludf.DUMMYFUNCTION("""COMPUTED_VALUE"""),1999.0)</f>
        <v>1999</v>
      </c>
      <c r="F10" s="24" t="str">
        <f>IFERROR(__xludf.DUMMYFUNCTION("""COMPUTED_VALUE"""),"Literatura infanto-juvenil. Barbosa, Rui -; Biografia. Fundação Casa de Rui Barbosa")</f>
        <v>Literatura infanto-juvenil. Barbosa, Rui -; Biografia. Fundação Casa de Rui Barbosa</v>
      </c>
      <c r="G10" s="28" t="str">
        <f>IFERROR(__xludf.DUMMYFUNCTION("""COMPUTED_VALUE"""),"8570041799")</f>
        <v>8570041799</v>
      </c>
      <c r="H10" s="29" t="str">
        <f>IFERROR(__xludf.DUMMYFUNCTION("""COMPUTED_VALUE"""),"http://www.casaruibarbosa.gov.br/arquivos/file/A%20casa%20de%20Rui%20cheia%20de%20encantos%20OCR.pdf")</f>
        <v>http://www.casaruibarbosa.gov.br/arquivos/file/A%20casa%20de%20Rui%20cheia%20de%20encantos%20OCR.pdf</v>
      </c>
      <c r="I10" s="24" t="str">
        <f>IFERROR(__xludf.DUMMYFUNCTION("""COMPUTED_VALUE"""),"Ciências Humanas")</f>
        <v>Ciências Humanas</v>
      </c>
    </row>
    <row r="11">
      <c r="A11" s="24" t="str">
        <f>IFERROR(__xludf.DUMMYFUNCTION("""COMPUTED_VALUE"""),"A casa de Vicente: Sociedade São Vicente de Paulo de Ilhéus")</f>
        <v>A casa de Vicente: Sociedade São Vicente de Paulo de Ilhéus</v>
      </c>
      <c r="B11" s="24" t="str">
        <f>IFERROR(__xludf.DUMMYFUNCTION("""COMPUTED_VALUE"""),"Maria Luiza Heine et al.")</f>
        <v>Maria Luiza Heine et al.</v>
      </c>
      <c r="C11" s="24" t="str">
        <f>IFERROR(__xludf.DUMMYFUNCTION("""COMPUTED_VALUE"""),"Ilhéus, BA")</f>
        <v>Ilhéus, BA</v>
      </c>
      <c r="D11" s="24" t="str">
        <f>IFERROR(__xludf.DUMMYFUNCTION("""COMPUTED_VALUE"""),"Editus")</f>
        <v>Editus</v>
      </c>
      <c r="E11" s="25">
        <f>IFERROR(__xludf.DUMMYFUNCTION("""COMPUTED_VALUE"""),2007.0)</f>
        <v>2007</v>
      </c>
      <c r="F11" s="24" t="str">
        <f>IFERROR(__xludf.DUMMYFUNCTION("""COMPUTED_VALUE"""),"Velhice – Asilos – Ilhéus (BA); Abrigo São Vicente; de Paulo – Ilhéus (BA); Idosos – Ilhéus (BA)")</f>
        <v>Velhice – Asilos – Ilhéus (BA); Abrigo São Vicente; de Paulo – Ilhéus (BA); Idosos – Ilhéus (BA)</v>
      </c>
      <c r="G11" s="28" t="str">
        <f>IFERROR(__xludf.DUMMYFUNCTION("""COMPUTED_VALUE"""),"9788574551388")</f>
        <v>9788574551388</v>
      </c>
      <c r="H11" s="29" t="str">
        <f>IFERROR(__xludf.DUMMYFUNCTION("""COMPUTED_VALUE"""),"http://www.uesc.br/editora/livrosdigitais_20141023/acasadevicente.pdf")</f>
        <v>http://www.uesc.br/editora/livrosdigitais_20141023/acasadevicente.pdf</v>
      </c>
      <c r="I11" s="24" t="str">
        <f>IFERROR(__xludf.DUMMYFUNCTION("""COMPUTED_VALUE"""),"Ciências Humanas")</f>
        <v>Ciências Humanas</v>
      </c>
    </row>
    <row r="12">
      <c r="A12" s="24" t="str">
        <f>IFERROR(__xludf.DUMMYFUNCTION("""COMPUTED_VALUE"""),"A cidadania na perspectiva da velhice: desafi os cotidianos para viver com dignidade")</f>
        <v>A cidadania na perspectiva da velhice: desafi os cotidianos para viver com dignidade</v>
      </c>
      <c r="B12" s="24" t="str">
        <f>IFERROR(__xludf.DUMMYFUNCTION("""COMPUTED_VALUE"""),"Raimunda Silva d'Alencar, Wagner A. H. Pompéo, (org.)")</f>
        <v>Raimunda Silva d'Alencar, Wagner A. H. Pompéo, (org.)</v>
      </c>
      <c r="C12" s="24" t="str">
        <f>IFERROR(__xludf.DUMMYFUNCTION("""COMPUTED_VALUE"""),"Ilhéus, BA")</f>
        <v>Ilhéus, BA</v>
      </c>
      <c r="D12" s="24" t="str">
        <f>IFERROR(__xludf.DUMMYFUNCTION("""COMPUTED_VALUE"""),"Editus")</f>
        <v>Editus</v>
      </c>
      <c r="E12" s="25">
        <f>IFERROR(__xludf.DUMMYFUNCTION("""COMPUTED_VALUE"""),2016.0)</f>
        <v>2016</v>
      </c>
      <c r="F12" s="24" t="str">
        <f>IFERROR(__xludf.DUMMYFUNCTION("""COMPUTED_VALUE"""),"Velhice; Envelhecimento - Aspectos sociais; Idosos - Aspectos sociais")</f>
        <v>Velhice; Envelhecimento - Aspectos sociais; Idosos - Aspectos sociais</v>
      </c>
      <c r="G12" s="28" t="str">
        <f>IFERROR(__xludf.DUMMYFUNCTION("""COMPUTED_VALUE"""),"9788574554075")</f>
        <v>9788574554075</v>
      </c>
      <c r="H12" s="29" t="str">
        <f>IFERROR(__xludf.DUMMYFUNCTION("""COMPUTED_VALUE"""),"http://www.uesc.br/editora/livrosdigitais2018/cidad-pers-velh.pdf")</f>
        <v>http://www.uesc.br/editora/livrosdigitais2018/cidad-pers-velh.pdf</v>
      </c>
      <c r="I12" s="24" t="str">
        <f>IFERROR(__xludf.DUMMYFUNCTION("""COMPUTED_VALUE"""),"Ciências Humanas")</f>
        <v>Ciências Humanas</v>
      </c>
    </row>
    <row r="13">
      <c r="A13" s="24" t="str">
        <f>IFERROR(__xludf.DUMMYFUNCTION("""COMPUTED_VALUE"""),"A Cidade e a tribo skatista: juventude, cotidiano e práticas corporais na história cultural ")</f>
        <v>A Cidade e a tribo skatista: juventude, cotidiano e práticas corporais na história cultural </v>
      </c>
      <c r="B13" s="24" t="str">
        <f>IFERROR(__xludf.DUMMYFUNCTION("""COMPUTED_VALUE"""),"Leonardo Brandão ")</f>
        <v>Leonardo Brandão </v>
      </c>
      <c r="C13" s="24" t="str">
        <f>IFERROR(__xludf.DUMMYFUNCTION("""COMPUTED_VALUE"""),"Dourados, MS")</f>
        <v>Dourados, MS</v>
      </c>
      <c r="D13" s="24" t="str">
        <f>IFERROR(__xludf.DUMMYFUNCTION("""COMPUTED_VALUE"""),"Ed. UFGD")</f>
        <v>Ed. UFGD</v>
      </c>
      <c r="E13" s="25">
        <f>IFERROR(__xludf.DUMMYFUNCTION("""COMPUTED_VALUE"""),2011.0)</f>
        <v>2011</v>
      </c>
      <c r="F13" s="24" t="str">
        <f>IFERROR(__xludf.DUMMYFUNCTION("""COMPUTED_VALUE"""),"Skate – Esporte; Skate – História; Skatistas brasileiros; Esporte radical")</f>
        <v>Skate – Esporte; Skate – História; Skatistas brasileiros; Esporte radical</v>
      </c>
      <c r="G13" s="28" t="str">
        <f>IFERROR(__xludf.DUMMYFUNCTION("""COMPUTED_VALUE"""),"9788561228934")</f>
        <v>9788561228934</v>
      </c>
      <c r="H13" s="29" t="str">
        <f>IFERROR(__xludf.DUMMYFUNCTION("""COMPUTED_VALUE"""),"http://omp.ufgd.edu.br/omp/index.php/livrosabertos/catalog/view/7/5/24-1")</f>
        <v>http://omp.ufgd.edu.br/omp/index.php/livrosabertos/catalog/view/7/5/24-1</v>
      </c>
      <c r="I13" s="24" t="str">
        <f>IFERROR(__xludf.DUMMYFUNCTION("""COMPUTED_VALUE"""),"Ciências Humanas")</f>
        <v>Ciências Humanas</v>
      </c>
    </row>
    <row r="14">
      <c r="A14" s="24" t="str">
        <f>IFERROR(__xludf.DUMMYFUNCTION("""COMPUTED_VALUE"""),"A cidade em tela: Itabuna e Walter Moreira")</f>
        <v>A cidade em tela: Itabuna e Walter Moreira</v>
      </c>
      <c r="B14" s="24" t="str">
        <f>IFERROR(__xludf.DUMMYFUNCTION("""COMPUTED_VALUE"""),"Lurdes Bertol Rocha, Elisabete Moreira")</f>
        <v>Lurdes Bertol Rocha, Elisabete Moreira</v>
      </c>
      <c r="C14" s="24" t="str">
        <f>IFERROR(__xludf.DUMMYFUNCTION("""COMPUTED_VALUE"""),"Ilhéus, BA")</f>
        <v>Ilhéus, BA</v>
      </c>
      <c r="D14" s="24" t="str">
        <f>IFERROR(__xludf.DUMMYFUNCTION("""COMPUTED_VALUE"""),"Editus")</f>
        <v>Editus</v>
      </c>
      <c r="E14" s="25">
        <f>IFERROR(__xludf.DUMMYFUNCTION("""COMPUTED_VALUE"""),2010.0)</f>
        <v>2010</v>
      </c>
      <c r="F14" s="24" t="str">
        <f>IFERROR(__xludf.DUMMYFUNCTION("""COMPUTED_VALUE"""),"Itabuna (BA) – História; Moreira, Walter – 1915-; 1999 – Biografi a; Geografi a urbana – Itabuna (BA)")</f>
        <v>Itabuna (BA) – História; Moreira, Walter – 1915-; 1999 – Biografi a; Geografi a urbana – Itabuna (BA)</v>
      </c>
      <c r="G14" s="28" t="str">
        <f>IFERROR(__xludf.DUMMYFUNCTION("""COMPUTED_VALUE"""),"9788574552019")</f>
        <v>9788574552019</v>
      </c>
      <c r="H14" s="29" t="str">
        <f>IFERROR(__xludf.DUMMYFUNCTION("""COMPUTED_VALUE"""),"http://www.uesc.br/editora/livrosdigitais2015/a_cidade_em_tela.pdf")</f>
        <v>http://www.uesc.br/editora/livrosdigitais2015/a_cidade_em_tela.pdf</v>
      </c>
      <c r="I14" s="24" t="str">
        <f>IFERROR(__xludf.DUMMYFUNCTION("""COMPUTED_VALUE"""),"Ciências Humanas")</f>
        <v>Ciências Humanas</v>
      </c>
    </row>
    <row r="15">
      <c r="A15" s="24" t="str">
        <f>IFERROR(__xludf.DUMMYFUNCTION("""COMPUTED_VALUE"""),"A CONCEPÇÃO FILOSÓFICA DA IMAGINAÇÃO De Descartes a Ryle")</f>
        <v>A CONCEPÇÃO FILOSÓFICA DA IMAGINAÇÃO De Descartes a Ryle</v>
      </c>
      <c r="B15" s="24" t="str">
        <f>IFERROR(__xludf.DUMMYFUNCTION("""COMPUTED_VALUE"""),"Hélio Lopes da Silva")</f>
        <v>Hélio Lopes da Silva</v>
      </c>
      <c r="C15" s="24" t="str">
        <f>IFERROR(__xludf.DUMMYFUNCTION("""COMPUTED_VALUE"""),"Ouro Preto")</f>
        <v>Ouro Preto</v>
      </c>
      <c r="D15" s="24" t="str">
        <f>IFERROR(__xludf.DUMMYFUNCTION("""COMPUTED_VALUE"""),"UFOP")</f>
        <v>UFOP</v>
      </c>
      <c r="E15" s="25">
        <f>IFERROR(__xludf.DUMMYFUNCTION("""COMPUTED_VALUE"""),2015.0)</f>
        <v>2015</v>
      </c>
      <c r="F15" s="24" t="str">
        <f>IFERROR(__xludf.DUMMYFUNCTION("""COMPUTED_VALUE"""),"Filosofia. Concepção. Imaginação")</f>
        <v>Filosofia. Concepção. Imaginação</v>
      </c>
      <c r="G15" s="28" t="str">
        <f>IFERROR(__xludf.DUMMYFUNCTION("""COMPUTED_VALUE"""),"97885288034571")</f>
        <v>97885288034571</v>
      </c>
      <c r="H15" s="29" t="str">
        <f>IFERROR(__xludf.DUMMYFUNCTION("""COMPUTED_VALUE"""),"https://www.editora.ufop.br/index.php/editora/catalog/view/10/2/144-1")</f>
        <v>https://www.editora.ufop.br/index.php/editora/catalog/view/10/2/144-1</v>
      </c>
      <c r="I15" s="24" t="str">
        <f>IFERROR(__xludf.DUMMYFUNCTION("""COMPUTED_VALUE"""),"Ciências Humanas")</f>
        <v>Ciências Humanas</v>
      </c>
    </row>
    <row r="16">
      <c r="A16" s="24" t="str">
        <f>IFERROR(__xludf.DUMMYFUNCTION("""COMPUTED_VALUE"""),"A construção da identidade do oficial do Exército Brasileiro")</f>
        <v>A construção da identidade do oficial do Exército Brasileiro</v>
      </c>
      <c r="B16" s="24" t="str">
        <f>IFERROR(__xludf.DUMMYFUNCTION("""COMPUTED_VALUE"""),"Denis de Miranda")</f>
        <v>Denis de Miranda</v>
      </c>
      <c r="C16" s="24" t="str">
        <f>IFERROR(__xludf.DUMMYFUNCTION("""COMPUTED_VALUE"""),"Rio de Janeiro")</f>
        <v>Rio de Janeiro</v>
      </c>
      <c r="D16" s="24" t="str">
        <f>IFERROR(__xludf.DUMMYFUNCTION("""COMPUTED_VALUE"""),"Editora PUC Rio")</f>
        <v>Editora PUC Rio</v>
      </c>
      <c r="E16" s="25">
        <f>IFERROR(__xludf.DUMMYFUNCTION("""COMPUTED_VALUE"""),2018.0)</f>
        <v>2018</v>
      </c>
      <c r="F16" s="24" t="str">
        <f>IFERROR(__xludf.DUMMYFUNCTION("""COMPUTED_VALUE"""),"Identidade social. Valores sociais. Brasil. Exército – Oficiais")</f>
        <v>Identidade social. Valores sociais. Brasil. Exército – Oficiais</v>
      </c>
      <c r="G16" s="28" t="str">
        <f>IFERROR(__xludf.DUMMYFUNCTION("""COMPUTED_VALUE"""),"9788580062410")</f>
        <v>9788580062410</v>
      </c>
      <c r="H16" s="29" t="str">
        <f>IFERROR(__xludf.DUMMYFUNCTION("""COMPUTED_VALUE"""),"http://www.editora.puc-rio.br/media/a%20constru%C3%A7%C3%A3o%20da%20identidade%20miolo.pdf")</f>
        <v>http://www.editora.puc-rio.br/media/a%20constru%C3%A7%C3%A3o%20da%20identidade%20miolo.pdf</v>
      </c>
      <c r="I16" s="24" t="str">
        <f>IFERROR(__xludf.DUMMYFUNCTION("""COMPUTED_VALUE"""),"Ciências Humanas")</f>
        <v>Ciências Humanas</v>
      </c>
    </row>
    <row r="17">
      <c r="A17" s="24" t="str">
        <f>IFERROR(__xludf.DUMMYFUNCTION("""COMPUTED_VALUE"""),"A construção da igura religiosa no romance de cavalaria")</f>
        <v>A construção da igura religiosa no romance de cavalaria</v>
      </c>
      <c r="B17" s="24" t="str">
        <f>IFERROR(__xludf.DUMMYFUNCTION("""COMPUTED_VALUE"""),"Márcia Maria de Medeiros.")</f>
        <v>Márcia Maria de Medeiros.</v>
      </c>
      <c r="C17" s="24" t="str">
        <f>IFERROR(__xludf.DUMMYFUNCTION("""COMPUTED_VALUE"""),"Dourados, MS")</f>
        <v>Dourados, MS</v>
      </c>
      <c r="D17" s="24" t="str">
        <f>IFERROR(__xludf.DUMMYFUNCTION("""COMPUTED_VALUE"""),"Ed. UFGD")</f>
        <v>Ed. UFGD</v>
      </c>
      <c r="E17" s="25">
        <f>IFERROR(__xludf.DUMMYFUNCTION("""COMPUTED_VALUE"""),2009.0)</f>
        <v>2009</v>
      </c>
      <c r="F17" s="24" t="str">
        <f>IFERROR(__xludf.DUMMYFUNCTION("""COMPUTED_VALUE"""),"Idade Média – História; Literatura medieval; Cavalaria – Idade Média – Romance; Cavaleiros e cavalaria")</f>
        <v>Idade Média – História; Literatura medieval; Cavalaria – Idade Média – Romance; Cavaleiros e cavalaria</v>
      </c>
      <c r="G17" s="28" t="str">
        <f>IFERROR(__xludf.DUMMYFUNCTION("""COMPUTED_VALUE"""),"9788561228507")</f>
        <v>9788561228507</v>
      </c>
      <c r="H17" s="29" t="str">
        <f>IFERROR(__xludf.DUMMYFUNCTION("""COMPUTED_VALUE"""),"http://omp.ufgd.edu.br/omp/index.php/livrosabertos/catalog/view/8/6/27-1")</f>
        <v>http://omp.ufgd.edu.br/omp/index.php/livrosabertos/catalog/view/8/6/27-1</v>
      </c>
      <c r="I17" s="24" t="str">
        <f>IFERROR(__xludf.DUMMYFUNCTION("""COMPUTED_VALUE"""),"Ciências Humanas")</f>
        <v>Ciências Humanas</v>
      </c>
    </row>
    <row r="18">
      <c r="A18" s="24" t="str">
        <f>IFERROR(__xludf.DUMMYFUNCTION("""COMPUTED_VALUE"""),"A construção histórica na graphic novel V for Vendetta: aspectos políticos, sociais e culturais na Inglaterra (1982-1988)")</f>
        <v>A construção histórica na graphic novel V for Vendetta: aspectos políticos, sociais e culturais na Inglaterra (1982-1988)</v>
      </c>
      <c r="B18" s="24" t="str">
        <f>IFERROR(__xludf.DUMMYFUNCTION("""COMPUTED_VALUE"""),"Krüger, Felipe Radünz")</f>
        <v>Krüger, Felipe Radünz</v>
      </c>
      <c r="C18" s="24" t="str">
        <f>IFERROR(__xludf.DUMMYFUNCTION("""COMPUTED_VALUE"""),"Pelotas")</f>
        <v>Pelotas</v>
      </c>
      <c r="D18" s="24" t="str">
        <f>IFERROR(__xludf.DUMMYFUNCTION("""COMPUTED_VALUE"""),"UFPel")</f>
        <v>UFPel</v>
      </c>
      <c r="E18" s="25">
        <f>IFERROR(__xludf.DUMMYFUNCTION("""COMPUTED_VALUE"""),2017.0)</f>
        <v>2017</v>
      </c>
      <c r="F18" s="24" t="str">
        <f>IFERROR(__xludf.DUMMYFUNCTION("""COMPUTED_VALUE"""),"Historiografia; Inglaterra; Década 1980; Graphic novel; V for Vendetta; História em quadrinhos")</f>
        <v>Historiografia; Inglaterra; Década 1980; Graphic novel; V for Vendetta; História em quadrinhos</v>
      </c>
      <c r="G18" s="28" t="str">
        <f>IFERROR(__xludf.DUMMYFUNCTION("""COMPUTED_VALUE"""),"9788571929616")</f>
        <v>9788571929616</v>
      </c>
      <c r="H18" s="29" t="str">
        <f>IFERROR(__xludf.DUMMYFUNCTION("""COMPUTED_VALUE"""),"http://repositorio.ufpel.edu.br:8080/bitstream/prefix/3805/1/12_A%20CONSTRU%c3%87%c3%83O%20HIST%c3%93RICA%20NA%20GRAPHIC%20NOVEL%20V%20FOR%20VENDETTA%20_S%c3%89RIE%20P%c3%93S%20GRADUA%c3%87%c3%83O.pdf")</f>
        <v>http://repositorio.ufpel.edu.br:8080/bitstream/prefix/3805/1/12_A%20CONSTRU%c3%87%c3%83O%20HIST%c3%93RICA%20NA%20GRAPHIC%20NOVEL%20V%20FOR%20VENDETTA%20_S%c3%89RIE%20P%c3%93S%20GRADUA%c3%87%c3%83O.pdf</v>
      </c>
      <c r="I18" s="24" t="str">
        <f>IFERROR(__xludf.DUMMYFUNCTION("""COMPUTED_VALUE"""),"Ciências Humanas")</f>
        <v>Ciências Humanas</v>
      </c>
    </row>
    <row r="19">
      <c r="A19" s="24" t="str">
        <f>IFERROR(__xludf.DUMMYFUNCTION("""COMPUTED_VALUE"""),"A cultura como via de aproximação: a Missão Cultural Brasileira no Paraguai (1952-1974).")</f>
        <v>A cultura como via de aproximação: a Missão Cultural Brasileira no Paraguai (1952-1974).</v>
      </c>
      <c r="B19" s="24" t="str">
        <f>IFERROR(__xludf.DUMMYFUNCTION("""COMPUTED_VALUE"""),"Daniele Reiter Chedid")</f>
        <v>Daniele Reiter Chedid</v>
      </c>
      <c r="C19" s="24" t="str">
        <f>IFERROR(__xludf.DUMMYFUNCTION("""COMPUTED_VALUE"""),"Dourados, MS")</f>
        <v>Dourados, MS</v>
      </c>
      <c r="D19" s="24" t="str">
        <f>IFERROR(__xludf.DUMMYFUNCTION("""COMPUTED_VALUE"""),"Ed. UFGD")</f>
        <v>Ed. UFGD</v>
      </c>
      <c r="E19" s="25">
        <f>IFERROR(__xludf.DUMMYFUNCTION("""COMPUTED_VALUE"""),2014.0)</f>
        <v>2014</v>
      </c>
      <c r="F19" s="24" t="str">
        <f>IFERROR(__xludf.DUMMYFUNCTION("""COMPUTED_VALUE"""),"Brasil – Paraguai; Missão Cultural Brasileira; Aproximação cultural – bilateral")</f>
        <v>Brasil – Paraguai; Missão Cultural Brasileira; Aproximação cultural – bilateral</v>
      </c>
      <c r="G19" s="28" t="str">
        <f>IFERROR(__xludf.DUMMYFUNCTION("""COMPUTED_VALUE"""),"9788581470849")</f>
        <v>9788581470849</v>
      </c>
      <c r="H19" s="29" t="str">
        <f>IFERROR(__xludf.DUMMYFUNCTION("""COMPUTED_VALUE"""),"http://omp.ufgd.edu.br/omp/index.php/livrosabertos/catalog/view/9/7/31-1")</f>
        <v>http://omp.ufgd.edu.br/omp/index.php/livrosabertos/catalog/view/9/7/31-1</v>
      </c>
      <c r="I19" s="24" t="str">
        <f>IFERROR(__xludf.DUMMYFUNCTION("""COMPUTED_VALUE"""),"Ciências Humanas")</f>
        <v>Ciências Humanas</v>
      </c>
    </row>
    <row r="20">
      <c r="A20" s="24" t="str">
        <f>IFERROR(__xludf.DUMMYFUNCTION("""COMPUTED_VALUE"""),"A cura da raça: eugenia e higienismo no discurso médico sul-rio-grandense nas primeiras décadas do século XX")</f>
        <v>A cura da raça: eugenia e higienismo no discurso médico sul-rio-grandense nas primeiras décadas do século XX</v>
      </c>
      <c r="B20" s="24" t="str">
        <f>IFERROR(__xludf.DUMMYFUNCTION("""COMPUTED_VALUE"""),"Éder Silveira")</f>
        <v>Éder Silveira</v>
      </c>
      <c r="C20" s="24" t="str">
        <f>IFERROR(__xludf.DUMMYFUNCTION("""COMPUTED_VALUE"""),"Porto Alegre")</f>
        <v>Porto Alegre</v>
      </c>
      <c r="D20" s="24" t="str">
        <f>IFERROR(__xludf.DUMMYFUNCTION("""COMPUTED_VALUE"""),"UFCSPA ")</f>
        <v>UFCSPA </v>
      </c>
      <c r="E20" s="25">
        <f>IFERROR(__xludf.DUMMYFUNCTION("""COMPUTED_VALUE"""),2016.0)</f>
        <v>2016</v>
      </c>
      <c r="F20" s="24" t="str">
        <f>IFERROR(__xludf.DUMMYFUNCTION("""COMPUTED_VALUE"""),"Etnologia-Brasil Eugenia (Ciência) - Rio Grande do Sul - Século XX Características nacionais brasileiras Darwinismo")</f>
        <v>Etnologia-Brasil Eugenia (Ciência) - Rio Grande do Sul - Século XX Características nacionais brasileiras Darwinismo</v>
      </c>
      <c r="G20" s="28" t="str">
        <f>IFERROR(__xludf.DUMMYFUNCTION("""COMPUTED_VALUE"""),"9788592652005")</f>
        <v>9788592652005</v>
      </c>
      <c r="H20" s="29" t="str">
        <f>IFERROR(__xludf.DUMMYFUNCTION("""COMPUTED_VALUE"""),"https://www.ufcspa.edu.br/editora_log/download.php?cod=001&amp;tipo=pdf")</f>
        <v>https://www.ufcspa.edu.br/editora_log/download.php?cod=001&amp;tipo=pdf</v>
      </c>
      <c r="I20" s="24" t="str">
        <f>IFERROR(__xludf.DUMMYFUNCTION("""COMPUTED_VALUE"""),"Ciências Humanas")</f>
        <v>Ciências Humanas</v>
      </c>
    </row>
    <row r="21">
      <c r="A21" s="24" t="str">
        <f>IFERROR(__xludf.DUMMYFUNCTION("""COMPUTED_VALUE"""),"A demanda por deuses: globalização, fluxos religiosos e culturas locais nos dois lados do Atlântico")</f>
        <v>A demanda por deuses: globalização, fluxos religiosos e culturas locais nos dois lados do Atlântico</v>
      </c>
      <c r="B21" s="24" t="str">
        <f>IFERROR(__xludf.DUMMYFUNCTION("""COMPUTED_VALUE"""),"Paulo Gracino Junior")</f>
        <v>Paulo Gracino Junior</v>
      </c>
      <c r="C21" s="24" t="str">
        <f>IFERROR(__xludf.DUMMYFUNCTION("""COMPUTED_VALUE"""),"Rio de Janeiro")</f>
        <v>Rio de Janeiro</v>
      </c>
      <c r="D21" s="24" t="str">
        <f>IFERROR(__xludf.DUMMYFUNCTION("""COMPUTED_VALUE"""),"EdUERJ")</f>
        <v>EdUERJ</v>
      </c>
      <c r="E21" s="25">
        <f>IFERROR(__xludf.DUMMYFUNCTION("""COMPUTED_VALUE"""),2016.0)</f>
        <v>2016</v>
      </c>
      <c r="F21" s="24" t="str">
        <f>IFERROR(__xludf.DUMMYFUNCTION("""COMPUTED_VALUE"""),"Religião; Pluralismo religioso; Globalização")</f>
        <v>Religião; Pluralismo religioso; Globalização</v>
      </c>
      <c r="G21" s="28" t="str">
        <f>IFERROR(__xludf.DUMMYFUNCTION("""COMPUTED_VALUE"""),"9788575113851")</f>
        <v>9788575113851</v>
      </c>
      <c r="H21" s="29" t="str">
        <f>IFERROR(__xludf.DUMMYFUNCTION("""COMPUTED_VALUE"""),"https://www.eduerj.com/eng/?product=a-demanda-por-deuses-globalizacao-fluxos-religiosos-e-culturas-locais-nos-dois-lados-do-atlantico-ebook")</f>
        <v>https://www.eduerj.com/eng/?product=a-demanda-por-deuses-globalizacao-fluxos-religiosos-e-culturas-locais-nos-dois-lados-do-atlantico-ebook</v>
      </c>
      <c r="I21" s="24" t="str">
        <f>IFERROR(__xludf.DUMMYFUNCTION("""COMPUTED_VALUE"""),"Ciências Humanas")</f>
        <v>Ciências Humanas</v>
      </c>
    </row>
    <row r="22">
      <c r="A22" s="24" t="str">
        <f>IFERROR(__xludf.DUMMYFUNCTION("""COMPUTED_VALUE"""),"A didática no âmbito da pós-graduação brasileira")</f>
        <v>A didática no âmbito da pós-graduação brasileira</v>
      </c>
      <c r="B22" s="24" t="str">
        <f>IFERROR(__xludf.DUMMYFUNCTION("""COMPUTED_VALUE"""),"Andréa Maturano Longarezi, Roberto Valdés Puentes")</f>
        <v>Andréa Maturano Longarezi, Roberto Valdés Puentes</v>
      </c>
      <c r="C22" s="24" t="str">
        <f>IFERROR(__xludf.DUMMYFUNCTION("""COMPUTED_VALUE"""),"Uberlândia")</f>
        <v>Uberlândia</v>
      </c>
      <c r="D22" s="24" t="str">
        <f>IFERROR(__xludf.DUMMYFUNCTION("""COMPUTED_VALUE"""),"EDUFU")</f>
        <v>EDUFU</v>
      </c>
      <c r="E22" s="25">
        <f>IFERROR(__xludf.DUMMYFUNCTION("""COMPUTED_VALUE"""),2017.0)</f>
        <v>2017</v>
      </c>
      <c r="F22" s="24" t="str">
        <f>IFERROR(__xludf.DUMMYFUNCTION("""COMPUTED_VALUE"""),"Didática 2 Didática (Ensino superior) 3 Professores universitários - Formação 4 Prática de ensino- Formação de professores. I. Longarezi, Andrea Maturano II. Valdés, Puentes Roberto. III. Título IV. Série")</f>
        <v>Didática 2 Didática (Ensino superior) 3 Professores universitários - Formação 4 Prática de ensino- Formação de professores. I. Longarezi, Andrea Maturano II. Valdés, Puentes Roberto. III. Título IV. Série</v>
      </c>
      <c r="G22" s="28" t="str">
        <f>IFERROR(__xludf.DUMMYFUNCTION("""COMPUTED_VALUE"""),"9788570784650")</f>
        <v>9788570784650</v>
      </c>
      <c r="H22" s="34" t="str">
        <f>IFERROR(__xludf.DUMMYFUNCTION("""COMPUTED_VALUE"""),"http://www.edufu.ufu.br/sites/edufu.ufu.br/files/e-book_a_didatica_v7_2015_0.pdf")</f>
        <v>http://www.edufu.ufu.br/sites/edufu.ufu.br/files/e-book_a_didatica_v7_2015_0.pdf</v>
      </c>
      <c r="I22" s="24" t="str">
        <f>IFERROR(__xludf.DUMMYFUNCTION("""COMPUTED_VALUE"""),"Ciências Humanas")</f>
        <v>Ciências Humanas</v>
      </c>
    </row>
    <row r="23">
      <c r="A23" s="24" t="str">
        <f>IFERROR(__xludf.DUMMYFUNCTION("""COMPUTED_VALUE"""),"A Ditadura civil-militar em Sobral-CE (aliança, “subversão” e repressão)")</f>
        <v>A Ditadura civil-militar em Sobral-CE (aliança, “subversão” e repressão)</v>
      </c>
      <c r="B23" s="24" t="str">
        <f>IFERROR(__xludf.DUMMYFUNCTION("""COMPUTED_VALUE"""),"Edvanir Maia da Silveira, João Batista Teófilo Silva")</f>
        <v>Edvanir Maia da Silveira, João Batista Teófilo Silva</v>
      </c>
      <c r="C23" s="24" t="str">
        <f>IFERROR(__xludf.DUMMYFUNCTION("""COMPUTED_VALUE"""),"Sobral")</f>
        <v>Sobral</v>
      </c>
      <c r="D23" s="24" t="str">
        <f>IFERROR(__xludf.DUMMYFUNCTION("""COMPUTED_VALUE"""),"Edições UVA")</f>
        <v>Edições UVA</v>
      </c>
      <c r="E23" s="25">
        <f>IFERROR(__xludf.DUMMYFUNCTION("""COMPUTED_VALUE"""),2017.0)</f>
        <v>2017</v>
      </c>
      <c r="F23" s="24" t="str">
        <f>IFERROR(__xludf.DUMMYFUNCTION("""COMPUTED_VALUE"""),"Ditadura - Sobral, Ditadura civico-militar, Repressão")</f>
        <v>Ditadura - Sobral, Ditadura civico-militar, Repressão</v>
      </c>
      <c r="G23" s="28" t="str">
        <f>IFERROR(__xludf.DUMMYFUNCTION("""COMPUTED_VALUE"""),"9788595390041")</f>
        <v>9788595390041</v>
      </c>
      <c r="H23" s="29" t="str">
        <f>IFERROR(__xludf.DUMMYFUNCTION("""COMPUTED_VALUE"""),"http://www.uvanet.br/edicoes_uva/gera_xml.php?arquivo=aditadura_civil_militar")</f>
        <v>http://www.uvanet.br/edicoes_uva/gera_xml.php?arquivo=aditadura_civil_militar</v>
      </c>
      <c r="I23" s="24" t="str">
        <f>IFERROR(__xludf.DUMMYFUNCTION("""COMPUTED_VALUE"""),"Ciências Humanas")</f>
        <v>Ciências Humanas</v>
      </c>
    </row>
    <row r="24">
      <c r="A24" s="24" t="str">
        <f>IFERROR(__xludf.DUMMYFUNCTION("""COMPUTED_VALUE"""),"A Diversidade Étnico-Racial em Escolas Privadas Confessionais: A Propósito da Lei nº 10.639/03")</f>
        <v>A Diversidade Étnico-Racial em Escolas Privadas Confessionais: A Propósito da Lei nº 10.639/03</v>
      </c>
      <c r="B24" s="24" t="str">
        <f>IFERROR(__xludf.DUMMYFUNCTION("""COMPUTED_VALUE"""),"Carmem Teixeira Gonçalves")</f>
        <v>Carmem Teixeira Gonçalves</v>
      </c>
      <c r="C24" s="24" t="str">
        <f>IFERROR(__xludf.DUMMYFUNCTION("""COMPUTED_VALUE"""),"Ouro Preto")</f>
        <v>Ouro Preto</v>
      </c>
      <c r="D24" s="24" t="str">
        <f>IFERROR(__xludf.DUMMYFUNCTION("""COMPUTED_VALUE"""),"UFOP")</f>
        <v>UFOP</v>
      </c>
      <c r="E24" s="25">
        <f>IFERROR(__xludf.DUMMYFUNCTION("""COMPUTED_VALUE"""),2017.0)</f>
        <v>2017</v>
      </c>
      <c r="F24" s="24" t="str">
        <f>IFERROR(__xludf.DUMMYFUNCTION("""COMPUTED_VALUE"""),"Multiculturalismo. Etnicismo. Escolas católicas. Relações étnicas - Lei nº 10.639/03")</f>
        <v>Multiculturalismo. Etnicismo. Escolas católicas. Relações étnicas - Lei nº 10.639/03</v>
      </c>
      <c r="G24" s="28" t="str">
        <f>IFERROR(__xludf.DUMMYFUNCTION("""COMPUTED_VALUE"""),"9788528803525")</f>
        <v>9788528803525</v>
      </c>
      <c r="H24" s="29" t="str">
        <f>IFERROR(__xludf.DUMMYFUNCTION("""COMPUTED_VALUE"""),"https://www.editora.ufop.br/index.php/editora/catalog/view/170/132/440-1")</f>
        <v>https://www.editora.ufop.br/index.php/editora/catalog/view/170/132/440-1</v>
      </c>
      <c r="I24" s="24" t="str">
        <f>IFERROR(__xludf.DUMMYFUNCTION("""COMPUTED_VALUE"""),"Ciências Humanas")</f>
        <v>Ciências Humanas</v>
      </c>
    </row>
    <row r="25">
      <c r="A25" s="24" t="str">
        <f>IFERROR(__xludf.DUMMYFUNCTION("""COMPUTED_VALUE"""),"A doutrina do eterno retorno de Nietzsche para a Geografia e Sociologia")</f>
        <v>A doutrina do eterno retorno de Nietzsche para a Geografia e Sociologia</v>
      </c>
      <c r="B25" s="24" t="str">
        <f>IFERROR(__xludf.DUMMYFUNCTION("""COMPUTED_VALUE"""),"Nitsche, Julio Cesar Vaz")</f>
        <v>Nitsche, Julio Cesar Vaz</v>
      </c>
      <c r="C25" s="24" t="str">
        <f>IFERROR(__xludf.DUMMYFUNCTION("""COMPUTED_VALUE"""),"Curitiba")</f>
        <v>Curitiba</v>
      </c>
      <c r="D25" s="24" t="str">
        <f>IFERROR(__xludf.DUMMYFUNCTION("""COMPUTED_VALUE"""),"Ed. do Autor")</f>
        <v>Ed. do Autor</v>
      </c>
      <c r="E25" s="25">
        <f>IFERROR(__xludf.DUMMYFUNCTION("""COMPUTED_VALUE"""),2020.0)</f>
        <v>2020</v>
      </c>
      <c r="F25" s="24" t="str">
        <f>IFERROR(__xludf.DUMMYFUNCTION("""COMPUTED_VALUE"""),"Questões filosóficas sobre Geografia e Sociologia; Nietzsche e o eterno retorno; Ambientes")</f>
        <v>Questões filosóficas sobre Geografia e Sociologia; Nietzsche e o eterno retorno; Ambientes</v>
      </c>
      <c r="G25" s="28" t="str">
        <f>IFERROR(__xludf.DUMMYFUNCTION("""COMPUTED_VALUE"""),"9786500034622")</f>
        <v>9786500034622</v>
      </c>
      <c r="H25" s="29" t="str">
        <f>IFERROR(__xludf.DUMMYFUNCTION("""COMPUTED_VALUE"""),"https://hdl.handle.net/1884/67108")</f>
        <v>https://hdl.handle.net/1884/67108</v>
      </c>
      <c r="I25" s="24" t="str">
        <f>IFERROR(__xludf.DUMMYFUNCTION("""COMPUTED_VALUE"""),"Ciências Humanas")</f>
        <v>Ciências Humanas</v>
      </c>
    </row>
    <row r="26">
      <c r="A26" s="24" t="str">
        <f>IFERROR(__xludf.DUMMYFUNCTION("""COMPUTED_VALUE"""),"A educação (re)visitada: a velhice na sala de aula")</f>
        <v>A educação (re)visitada: a velhice na sala de aula</v>
      </c>
      <c r="B26" s="24" t="str">
        <f>IFERROR(__xludf.DUMMYFUNCTION("""COMPUTED_VALUE"""),"Raimunda Silva d’Alencar, Carmen Maria Andrade (org.)")</f>
        <v>Raimunda Silva d’Alencar, Carmen Maria Andrade (org.)</v>
      </c>
      <c r="C26" s="24" t="str">
        <f>IFERROR(__xludf.DUMMYFUNCTION("""COMPUTED_VALUE"""),"Ilhéus, BA")</f>
        <v>Ilhéus, BA</v>
      </c>
      <c r="D26" s="24" t="str">
        <f>IFERROR(__xludf.DUMMYFUNCTION("""COMPUTED_VALUE"""),"Editus")</f>
        <v>Editus</v>
      </c>
      <c r="E26" s="25">
        <f>IFERROR(__xludf.DUMMYFUNCTION("""COMPUTED_VALUE"""),2012.0)</f>
        <v>2012</v>
      </c>
      <c r="F26" s="24" t="str">
        <f>IFERROR(__xludf.DUMMYFUNCTION("""COMPUTED_VALUE"""),"Educação – Finalidades e objetivos; Idosos – Educação; Envelhecimento – Aspectos sociais")</f>
        <v>Educação – Finalidades e objetivos; Idosos – Educação; Envelhecimento – Aspectos sociais</v>
      </c>
      <c r="G26" s="28" t="str">
        <f>IFERROR(__xludf.DUMMYFUNCTION("""COMPUTED_VALUE"""),"9788574552989")</f>
        <v>9788574552989</v>
      </c>
      <c r="H26" s="29" t="str">
        <f>IFERROR(__xludf.DUMMYFUNCTION("""COMPUTED_VALUE"""),"http://www.uesc.br/editora/livrosdigitais2015/a_educacao_revisitada.pdf")</f>
        <v>http://www.uesc.br/editora/livrosdigitais2015/a_educacao_revisitada.pdf</v>
      </c>
      <c r="I26" s="24" t="str">
        <f>IFERROR(__xludf.DUMMYFUNCTION("""COMPUTED_VALUE"""),"Ciências Humanas")</f>
        <v>Ciências Humanas</v>
      </c>
    </row>
    <row r="27">
      <c r="A27" s="24" t="str">
        <f>IFERROR(__xludf.DUMMYFUNCTION("""COMPUTED_VALUE"""),"A Educação como um direito fundamental, um bem público e um serviço comercializável")</f>
        <v>A Educação como um direito fundamental, um bem público e um serviço comercializável</v>
      </c>
      <c r="B27" s="24" t="str">
        <f>IFERROR(__xludf.DUMMYFUNCTION("""COMPUTED_VALUE"""),"Maria Creusa de Araújo Borges")</f>
        <v>Maria Creusa de Araújo Borges</v>
      </c>
      <c r="C27" s="24" t="str">
        <f>IFERROR(__xludf.DUMMYFUNCTION("""COMPUTED_VALUE"""),"Campina Grande")</f>
        <v>Campina Grande</v>
      </c>
      <c r="D27" s="24" t="str">
        <f>IFERROR(__xludf.DUMMYFUNCTION("""COMPUTED_VALUE"""),"EDUEPB")</f>
        <v>EDUEPB</v>
      </c>
      <c r="E27" s="25">
        <f>IFERROR(__xludf.DUMMYFUNCTION("""COMPUTED_VALUE"""),2018.0)</f>
        <v>2018</v>
      </c>
      <c r="F27" s="24" t="str">
        <f>IFERROR(__xludf.DUMMYFUNCTION("""COMPUTED_VALUE"""),"Educação. Ensino superior. Ensino aprendizagem. Reforma da educação superior")</f>
        <v>Educação. Ensino superior. Ensino aprendizagem. Reforma da educação superior</v>
      </c>
      <c r="G27" s="28" t="str">
        <f>IFERROR(__xludf.DUMMYFUNCTION("""COMPUTED_VALUE"""),"9788578795009")</f>
        <v>9788578795009</v>
      </c>
      <c r="H27" s="32" t="str">
        <f>IFERROR(__xludf.DUMMYFUNCTION("""COMPUTED_VALUE"""),"http://eduepb.uepb.edu.br/download/educacao-como-direito-fundamental/?wpdmdl=1061&amp;#038;masterkey=5ed29b6c9c57e")</f>
        <v>http://eduepb.uepb.edu.br/download/educacao-como-direito-fundamental/?wpdmdl=1061&amp;#038;masterkey=5ed29b6c9c57e</v>
      </c>
      <c r="I27" s="24" t="str">
        <f>IFERROR(__xludf.DUMMYFUNCTION("""COMPUTED_VALUE"""),"Ciências Humanas")</f>
        <v>Ciências Humanas</v>
      </c>
    </row>
    <row r="28">
      <c r="A28" s="24" t="str">
        <f>IFERROR(__xludf.DUMMYFUNCTION("""COMPUTED_VALUE"""),"A educação em Itabuna: um estudo da organização escolar, (1906 - 1930) ")</f>
        <v>A educação em Itabuna: um estudo da organização escolar, (1906 - 1930) </v>
      </c>
      <c r="B28" s="24" t="str">
        <f>IFERROR(__xludf.DUMMYFUNCTION("""COMPUTED_VALUE"""),"Raimunda Alves Moreira de Assis")</f>
        <v>Raimunda Alves Moreira de Assis</v>
      </c>
      <c r="C28" s="24" t="str">
        <f>IFERROR(__xludf.DUMMYFUNCTION("""COMPUTED_VALUE"""),"Ilhéus, BA")</f>
        <v>Ilhéus, BA</v>
      </c>
      <c r="D28" s="24" t="str">
        <f>IFERROR(__xludf.DUMMYFUNCTION("""COMPUTED_VALUE"""),"Editus")</f>
        <v>Editus</v>
      </c>
      <c r="E28" s="25">
        <f>IFERROR(__xludf.DUMMYFUNCTION("""COMPUTED_VALUE"""),2006.0)</f>
        <v>2006</v>
      </c>
      <c r="F28" s="24" t="str">
        <f>IFERROR(__xludf.DUMMYFUNCTION("""COMPUTED_VALUE"""),"Educação - Itabuna (BA); Escolas - Organização e administração")</f>
        <v>Educação - Itabuna (BA); Escolas - Organização e administração</v>
      </c>
      <c r="G28" s="28" t="str">
        <f>IFERROR(__xludf.DUMMYFUNCTION("""COMPUTED_VALUE"""),"8574550825")</f>
        <v>8574550825</v>
      </c>
      <c r="H28" s="29" t="str">
        <f>IFERROR(__xludf.DUMMYFUNCTION("""COMPUTED_VALUE"""),"http://www.uesc.br/editora/livrosdigitais/edu_itabuna.pdf")</f>
        <v>http://www.uesc.br/editora/livrosdigitais/edu_itabuna.pdf</v>
      </c>
      <c r="I28" s="24" t="str">
        <f>IFERROR(__xludf.DUMMYFUNCTION("""COMPUTED_VALUE"""),"Ciências Humanas")</f>
        <v>Ciências Humanas</v>
      </c>
    </row>
    <row r="29">
      <c r="A29" s="24" t="str">
        <f>IFERROR(__xludf.DUMMYFUNCTION("""COMPUTED_VALUE"""),"A educação inclusiva de crianças, adolescentes, jovens e adultos: avanços e desafios")</f>
        <v>A educação inclusiva de crianças, adolescentes, jovens e adultos: avanços e desafios</v>
      </c>
      <c r="B29" s="24" t="str">
        <f>IFERROR(__xludf.DUMMYFUNCTION("""COMPUTED_VALUE"""),"Sonia Lopes Victor, Rogério Drago e José Francisco Chicon (org.)")</f>
        <v>Sonia Lopes Victor, Rogério Drago e José Francisco Chicon (org.)</v>
      </c>
      <c r="C29" s="24" t="str">
        <f>IFERROR(__xludf.DUMMYFUNCTION("""COMPUTED_VALUE"""),"Vitória")</f>
        <v>Vitória</v>
      </c>
      <c r="D29" s="24" t="str">
        <f>IFERROR(__xludf.DUMMYFUNCTION("""COMPUTED_VALUE"""),"EDUFES")</f>
        <v>EDUFES</v>
      </c>
      <c r="E29" s="25">
        <f>IFERROR(__xludf.DUMMYFUNCTION("""COMPUTED_VALUE"""),2013.0)</f>
        <v>2013</v>
      </c>
      <c r="F29" s="24" t="str">
        <f>IFERROR(__xludf.DUMMYFUNCTION("""COMPUTED_VALUE"""),"Educação especial; Educação inclusiva; Inclusão escolar; Políticas públicas")</f>
        <v>Educação especial; Educação inclusiva; Inclusão escolar; Políticas públicas</v>
      </c>
      <c r="G29" s="28" t="str">
        <f>IFERROR(__xludf.DUMMYFUNCTION("""COMPUTED_VALUE"""),"9788577721320")</f>
        <v>9788577721320</v>
      </c>
      <c r="H29" s="29" t="str">
        <f>IFERROR(__xludf.DUMMYFUNCTION("""COMPUTED_VALUE"""),"http://repositorio.ufes.br/bitstream/10/802/1/livro%20edufes%20Educa%C3%A7%C3%A3o%20inclusiva%20de%20crian%C3%A7as%2C%20adolescentes%2C%20jovens%20e%20adultos%20avan%C3%A7os%20e%20desafios.pdf")</f>
        <v>http://repositorio.ufes.br/bitstream/10/802/1/livro%20edufes%20Educa%C3%A7%C3%A3o%20inclusiva%20de%20crian%C3%A7as%2C%20adolescentes%2C%20jovens%20e%20adultos%20avan%C3%A7os%20e%20desafios.pdf</v>
      </c>
      <c r="I29" s="24" t="str">
        <f>IFERROR(__xludf.DUMMYFUNCTION("""COMPUTED_VALUE"""),"Ciências Humanas")</f>
        <v>Ciências Humanas</v>
      </c>
    </row>
    <row r="30">
      <c r="A30" s="24" t="str">
        <f>IFERROR(__xludf.DUMMYFUNCTION("""COMPUTED_VALUE"""),"A educação pelo silêncio: o feitiço da linguagem no candomblé")</f>
        <v>A educação pelo silêncio: o feitiço da linguagem no candomblé</v>
      </c>
      <c r="B30" s="24" t="str">
        <f>IFERROR(__xludf.DUMMYFUNCTION("""COMPUTED_VALUE"""),"Marialda Jovita Silveira")</f>
        <v>Marialda Jovita Silveira</v>
      </c>
      <c r="C30" s="24" t="str">
        <f>IFERROR(__xludf.DUMMYFUNCTION("""COMPUTED_VALUE"""),"Ilhéus, BA")</f>
        <v>Ilhéus, BA</v>
      </c>
      <c r="D30" s="24" t="str">
        <f>IFERROR(__xludf.DUMMYFUNCTION("""COMPUTED_VALUE"""),"Editus")</f>
        <v>Editus</v>
      </c>
      <c r="E30" s="25">
        <f>IFERROR(__xludf.DUMMYFUNCTION("""COMPUTED_VALUE"""),2004.0)</f>
        <v>2004</v>
      </c>
      <c r="F30" s="24" t="str">
        <f>IFERROR(__xludf.DUMMYFUNCTION("""COMPUTED_VALUE"""),"Educação - Linguagem; Candomblé; - Bahia; Religião e linguagem")</f>
        <v>Educação - Linguagem; Candomblé; - Bahia; Religião e linguagem</v>
      </c>
      <c r="G30" s="28" t="str">
        <f>IFERROR(__xludf.DUMMYFUNCTION("""COMPUTED_VALUE"""),"8574550663")</f>
        <v>8574550663</v>
      </c>
      <c r="H30" s="29" t="str">
        <f>IFERROR(__xludf.DUMMYFUNCTION("""COMPUTED_VALUE"""),"http://www.uesc.br/editora/livrosdigitais2015/a_educacao_pelo_silencio.pdf")</f>
        <v>http://www.uesc.br/editora/livrosdigitais2015/a_educacao_pelo_silencio.pdf</v>
      </c>
      <c r="I30" s="24" t="str">
        <f>IFERROR(__xludf.DUMMYFUNCTION("""COMPUTED_VALUE"""),"Ciências Humanas")</f>
        <v>Ciências Humanas</v>
      </c>
    </row>
    <row r="31">
      <c r="A31" s="24" t="str">
        <f>IFERROR(__xludf.DUMMYFUNCTION("""COMPUTED_VALUE"""),"A educação popular nos tempos da ditadura")</f>
        <v>A educação popular nos tempos da ditadura</v>
      </c>
      <c r="B31" s="24" t="str">
        <f>IFERROR(__xludf.DUMMYFUNCTION("""COMPUTED_VALUE"""),"Afonso Celso Scocuglia")</f>
        <v>Afonso Celso Scocuglia</v>
      </c>
      <c r="C31" s="24" t="str">
        <f>IFERROR(__xludf.DUMMYFUNCTION("""COMPUTED_VALUE"""),"Campina Grande")</f>
        <v>Campina Grande</v>
      </c>
      <c r="D31" s="24" t="str">
        <f>IFERROR(__xludf.DUMMYFUNCTION("""COMPUTED_VALUE"""),"EDUEPB")</f>
        <v>EDUEPB</v>
      </c>
      <c r="E31" s="25">
        <f>IFERROR(__xludf.DUMMYFUNCTION("""COMPUTED_VALUE"""),2018.0)</f>
        <v>2018</v>
      </c>
      <c r="F31" s="24" t="str">
        <f>IFERROR(__xludf.DUMMYFUNCTION("""COMPUTED_VALUE"""),"Educação. História. Método Paulo Freire. Cultura popular. Ensino. Ditadura militar")</f>
        <v>Educação. História. Método Paulo Freire. Cultura popular. Ensino. Ditadura militar</v>
      </c>
      <c r="G31" s="28" t="str">
        <f>IFERROR(__xludf.DUMMYFUNCTION("""COMPUTED_VALUE"""),"9788578795016")</f>
        <v>9788578795016</v>
      </c>
      <c r="H31" s="29" t="str">
        <f>IFERROR(__xludf.DUMMYFUNCTION("""COMPUTED_VALUE"""),"http://eduepb.uepb.edu.br/download/a-educacao-popular-nos-tempos-da-ditadura-2/?wpdmdl=738&amp;amp;masterkey=5d1a0a37c7a56")</f>
        <v>http://eduepb.uepb.edu.br/download/a-educacao-popular-nos-tempos-da-ditadura-2/?wpdmdl=738&amp;amp;masterkey=5d1a0a37c7a56</v>
      </c>
      <c r="I31" s="24" t="str">
        <f>IFERROR(__xludf.DUMMYFUNCTION("""COMPUTED_VALUE"""),"Ciências Humanas")</f>
        <v>Ciências Humanas</v>
      </c>
    </row>
    <row r="32">
      <c r="A32" s="24" t="str">
        <f>IFERROR(__xludf.DUMMYFUNCTION("""COMPUTED_VALUE"""),"A escravização indígena e o bandeirante no Brasil colonial: conlitos, apresamentos e mitos.")</f>
        <v>A escravização indígena e o bandeirante no Brasil colonial: conlitos, apresamentos e mitos.</v>
      </c>
      <c r="B32" s="24" t="str">
        <f>IFERROR(__xludf.DUMMYFUNCTION("""COMPUTED_VALUE"""),"Manuel Pacheco Neto")</f>
        <v>Manuel Pacheco Neto</v>
      </c>
      <c r="C32" s="24" t="str">
        <f>IFERROR(__xludf.DUMMYFUNCTION("""COMPUTED_VALUE"""),"Dourados, MS")</f>
        <v>Dourados, MS</v>
      </c>
      <c r="D32" s="24" t="str">
        <f>IFERROR(__xludf.DUMMYFUNCTION("""COMPUTED_VALUE"""),"Ed. UFGD")</f>
        <v>Ed. UFGD</v>
      </c>
      <c r="E32" s="25">
        <f>IFERROR(__xludf.DUMMYFUNCTION("""COMPUTED_VALUE"""),2015.0)</f>
        <v>2015</v>
      </c>
      <c r="F32" s="24" t="str">
        <f>IFERROR(__xludf.DUMMYFUNCTION("""COMPUTED_VALUE"""),"Brasil colônia; Escravidão indígena; Bandeirantes")</f>
        <v>Brasil colônia; Escravidão indígena; Bandeirantes</v>
      </c>
      <c r="G32" s="28" t="str">
        <f>IFERROR(__xludf.DUMMYFUNCTION("""COMPUTED_VALUE"""),"9788581471143")</f>
        <v>9788581471143</v>
      </c>
      <c r="H32" s="29" t="str">
        <f>IFERROR(__xludf.DUMMYFUNCTION("""COMPUTED_VALUE"""),"http://omp.ufgd.edu.br/omp/index.php/livrosabertos/catalog/view/10/9/36-1")</f>
        <v>http://omp.ufgd.edu.br/omp/index.php/livrosabertos/catalog/view/10/9/36-1</v>
      </c>
      <c r="I32" s="24" t="str">
        <f>IFERROR(__xludf.DUMMYFUNCTION("""COMPUTED_VALUE"""),"Ciências Humanas")</f>
        <v>Ciências Humanas</v>
      </c>
    </row>
    <row r="33">
      <c r="A33" s="24" t="str">
        <f>IFERROR(__xludf.DUMMYFUNCTION("""COMPUTED_VALUE"""),"A escrita da voz e do nome: Sócrates e Meleto na Apologia de Platão")</f>
        <v>A escrita da voz e do nome: Sócrates e Meleto na Apologia de Platão</v>
      </c>
      <c r="B33" s="24" t="str">
        <f>IFERROR(__xludf.DUMMYFUNCTION("""COMPUTED_VALUE"""),"Antonio de Brito Freire")</f>
        <v>Antonio de Brito Freire</v>
      </c>
      <c r="C33" s="24" t="str">
        <f>IFERROR(__xludf.DUMMYFUNCTION("""COMPUTED_VALUE"""),"Campina Grande")</f>
        <v>Campina Grande</v>
      </c>
      <c r="D33" s="24" t="str">
        <f>IFERROR(__xludf.DUMMYFUNCTION("""COMPUTED_VALUE"""),"EDUEPB")</f>
        <v>EDUEPB</v>
      </c>
      <c r="E33" s="25">
        <f>IFERROR(__xludf.DUMMYFUNCTION("""COMPUTED_VALUE"""),2019.0)</f>
        <v>2019</v>
      </c>
      <c r="F33" s="24" t="str">
        <f>IFERROR(__xludf.DUMMYFUNCTION("""COMPUTED_VALUE"""),"Crítica Literária. Literatura Grega Clássica – História e Crítica. Filosofia Clássica –; Análise Literária. Apologia – Abordagem Filosófica. Análise do discurso")</f>
        <v>Crítica Literária. Literatura Grega Clássica – História e Crítica. Filosofia Clássica –; Análise Literária. Apologia – Abordagem Filosófica. Análise do discurso</v>
      </c>
      <c r="G33" s="28" t="str">
        <f>IFERROR(__xludf.DUMMYFUNCTION("""COMPUTED_VALUE"""),"9788578795443")</f>
        <v>9788578795443</v>
      </c>
      <c r="H33" s="29" t="str">
        <f>IFERROR(__xludf.DUMMYFUNCTION("""COMPUTED_VALUE"""),"http://eduepb.uepb.edu.br/download/a-escrita-da-voz-e-do-nome/?wpdmdl=710&amp;amp;masterkey=5cfe3f1224c55")</f>
        <v>http://eduepb.uepb.edu.br/download/a-escrita-da-voz-e-do-nome/?wpdmdl=710&amp;amp;masterkey=5cfe3f1224c55</v>
      </c>
      <c r="I33" s="24" t="str">
        <f>IFERROR(__xludf.DUMMYFUNCTION("""COMPUTED_VALUE"""),"Ciências Humanas")</f>
        <v>Ciências Humanas</v>
      </c>
    </row>
    <row r="34">
      <c r="A34" s="24" t="str">
        <f>IFERROR(__xludf.DUMMYFUNCTION("""COMPUTED_VALUE"""),"A especificidade da ação afirmativa no Brasil: o caso do Centro Nacional de Cidaddania Negra em Uberaba - MG")</f>
        <v>A especificidade da ação afirmativa no Brasil: o caso do Centro Nacional de Cidaddania Negra em Uberaba - MG</v>
      </c>
      <c r="B34" s="24" t="str">
        <f>IFERROR(__xludf.DUMMYFUNCTION("""COMPUTED_VALUE"""),"Márcio Mucedula Aguiar")</f>
        <v>Márcio Mucedula Aguiar</v>
      </c>
      <c r="C34" s="24" t="str">
        <f>IFERROR(__xludf.DUMMYFUNCTION("""COMPUTED_VALUE"""),"Dourados, MS")</f>
        <v>Dourados, MS</v>
      </c>
      <c r="D34" s="24" t="str">
        <f>IFERROR(__xludf.DUMMYFUNCTION("""COMPUTED_VALUE"""),"Ed. UFGD")</f>
        <v>Ed. UFGD</v>
      </c>
      <c r="E34" s="25">
        <f>IFERROR(__xludf.DUMMYFUNCTION("""COMPUTED_VALUE"""),2009.0)</f>
        <v>2009</v>
      </c>
      <c r="F34" s="24" t="str">
        <f>IFERROR(__xludf.DUMMYFUNCTION("""COMPUTED_VALUE"""),"Relações raciais - Brasil; Negros – Condições sociais - Brasil; Negros – Identidade racial – Brasil; Sociologia brasileira")</f>
        <v>Relações raciais - Brasil; Negros – Condições sociais - Brasil; Negros – Identidade racial – Brasil; Sociologia brasileira</v>
      </c>
      <c r="G34" s="28" t="str">
        <f>IFERROR(__xludf.DUMMYFUNCTION("""COMPUTED_VALUE"""),"9788561228514")</f>
        <v>9788561228514</v>
      </c>
      <c r="H34" s="29" t="str">
        <f>IFERROR(__xludf.DUMMYFUNCTION("""COMPUTED_VALUE"""),"http://omp.ufgd.edu.br/omp/index.php/livrosabertos/catalog/view/12/11/40-1")</f>
        <v>http://omp.ufgd.edu.br/omp/index.php/livrosabertos/catalog/view/12/11/40-1</v>
      </c>
      <c r="I34" s="24" t="str">
        <f>IFERROR(__xludf.DUMMYFUNCTION("""COMPUTED_VALUE"""),"Ciências Humanas")</f>
        <v>Ciências Humanas</v>
      </c>
    </row>
    <row r="35">
      <c r="A35" s="24" t="str">
        <f>IFERROR(__xludf.DUMMYFUNCTION("""COMPUTED_VALUE"""),"A Ética de Pedro Abelardo")</f>
        <v>A Ética de Pedro Abelardo</v>
      </c>
      <c r="B35" s="24" t="str">
        <f>IFERROR(__xludf.DUMMYFUNCTION("""COMPUTED_VALUE"""),"Marcio Chaves-Tannús")</f>
        <v>Marcio Chaves-Tannús</v>
      </c>
      <c r="C35" s="24" t="str">
        <f>IFERROR(__xludf.DUMMYFUNCTION("""COMPUTED_VALUE"""),"Uberlândia")</f>
        <v>Uberlândia</v>
      </c>
      <c r="D35" s="24" t="str">
        <f>IFERROR(__xludf.DUMMYFUNCTION("""COMPUTED_VALUE"""),"EDUFU")</f>
        <v>EDUFU</v>
      </c>
      <c r="E35" s="25">
        <f>IFERROR(__xludf.DUMMYFUNCTION("""COMPUTED_VALUE"""),2015.0)</f>
        <v>2015</v>
      </c>
      <c r="F35" s="24" t="str">
        <f>IFERROR(__xludf.DUMMYFUNCTION("""COMPUTED_VALUE"""),"Abelardo,1079-1142- Crítica e interpretação; Filosofia medieval- Sec XII; Lógica medieval; Ética; Dialética. I Título")</f>
        <v>Abelardo,1079-1142- Crítica e interpretação; Filosofia medieval- Sec XII; Lógica medieval; Ética; Dialética. I Título</v>
      </c>
      <c r="G35" s="28" t="str">
        <f>IFERROR(__xludf.DUMMYFUNCTION("""COMPUTED_VALUE"""),"9788570784124")</f>
        <v>9788570784124</v>
      </c>
      <c r="H35" s="29" t="str">
        <f>IFERROR(__xludf.DUMMYFUNCTION("""COMPUTED_VALUE"""),"http://www.edufu.ufu.br/sites/edufu.ufu.br/files/e-book_a_etica_de_pedro_abelardo_2016_1.pdf")</f>
        <v>http://www.edufu.ufu.br/sites/edufu.ufu.br/files/e-book_a_etica_de_pedro_abelardo_2016_1.pdf</v>
      </c>
      <c r="I35" s="24" t="str">
        <f>IFERROR(__xludf.DUMMYFUNCTION("""COMPUTED_VALUE"""),"Ciências Humanas")</f>
        <v>Ciências Humanas</v>
      </c>
    </row>
    <row r="36">
      <c r="A36" s="24" t="str">
        <f>IFERROR(__xludf.DUMMYFUNCTION("""COMPUTED_VALUE"""),"A Ética desde Lacan: implicações filosóficas da crítica ao sujeito")</f>
        <v>A Ética desde Lacan: implicações filosóficas da crítica ao sujeito</v>
      </c>
      <c r="B36" s="24" t="str">
        <f>IFERROR(__xludf.DUMMYFUNCTION("""COMPUTED_VALUE"""),"Bruno Almeida Guimarães")</f>
        <v>Bruno Almeida Guimarães</v>
      </c>
      <c r="C36" s="24" t="str">
        <f>IFERROR(__xludf.DUMMYFUNCTION("""COMPUTED_VALUE"""),"Ouro Preto")</f>
        <v>Ouro Preto</v>
      </c>
      <c r="D36" s="24" t="str">
        <f>IFERROR(__xludf.DUMMYFUNCTION("""COMPUTED_VALUE"""),"UFOP")</f>
        <v>UFOP</v>
      </c>
      <c r="E36" s="25">
        <f>IFERROR(__xludf.DUMMYFUNCTION("""COMPUTED_VALUE"""),2015.0)</f>
        <v>2015</v>
      </c>
      <c r="F36" s="24" t="str">
        <f>IFERROR(__xludf.DUMMYFUNCTION("""COMPUTED_VALUE"""),"Razão. Ética. Freud, Sigmund, 1856-1939")</f>
        <v>Razão. Ética. Freud, Sigmund, 1856-1939</v>
      </c>
      <c r="G36" s="28" t="str">
        <f>IFERROR(__xludf.DUMMYFUNCTION("""COMPUTED_VALUE"""),"9788528803440")</f>
        <v>9788528803440</v>
      </c>
      <c r="H36" s="29" t="str">
        <f>IFERROR(__xludf.DUMMYFUNCTION("""COMPUTED_VALUE"""),"https://www.editora.ufop.br/index.php/editora/catalog/view/12/3/17-1")</f>
        <v>https://www.editora.ufop.br/index.php/editora/catalog/view/12/3/17-1</v>
      </c>
      <c r="I36" s="24" t="str">
        <f>IFERROR(__xludf.DUMMYFUNCTION("""COMPUTED_VALUE"""),"Ciências Humanas")</f>
        <v>Ciências Humanas</v>
      </c>
    </row>
    <row r="37">
      <c r="A37" s="24" t="str">
        <f>IFERROR(__xludf.DUMMYFUNCTION("""COMPUTED_VALUE"""),"A ética do uso e da seleção de embriões")</f>
        <v>A ética do uso e da seleção de embriões</v>
      </c>
      <c r="B37" s="24" t="str">
        <f>IFERROR(__xludf.DUMMYFUNCTION("""COMPUTED_VALUE"""),"Frias, Lincoln")</f>
        <v>Frias, Lincoln</v>
      </c>
      <c r="C37" s="24" t="str">
        <f>IFERROR(__xludf.DUMMYFUNCTION("""COMPUTED_VALUE"""),"Florianópolis")</f>
        <v>Florianópolis</v>
      </c>
      <c r="D37" s="24" t="str">
        <f>IFERROR(__xludf.DUMMYFUNCTION("""COMPUTED_VALUE"""),"Editora da UFSC")</f>
        <v>Editora da UFSC</v>
      </c>
      <c r="E37" s="25">
        <f>IFERROR(__xludf.DUMMYFUNCTION("""COMPUTED_VALUE"""),2012.0)</f>
        <v>2012</v>
      </c>
      <c r="F37" s="24" t="str">
        <f>IFERROR(__xludf.DUMMYFUNCTION("""COMPUTED_VALUE"""),"Ciência e ética;Bioética")</f>
        <v>Ciência e ética;Bioética</v>
      </c>
      <c r="G37" s="28" t="str">
        <f>IFERROR(__xludf.DUMMYFUNCTION("""COMPUTED_VALUE"""),"9788532805843")</f>
        <v>9788532805843</v>
      </c>
      <c r="H37" s="29" t="str">
        <f>IFERROR(__xludf.DUMMYFUNCTION("""COMPUTED_VALUE"""),"https://repositorio.ufsc.br/handle/123456789/187695")</f>
        <v>https://repositorio.ufsc.br/handle/123456789/187695</v>
      </c>
      <c r="I37" s="24" t="str">
        <f>IFERROR(__xludf.DUMMYFUNCTION("""COMPUTED_VALUE"""),"Ciências Humanas")</f>
        <v>Ciências Humanas</v>
      </c>
    </row>
    <row r="38">
      <c r="A38" s="24" t="str">
        <f>IFERROR(__xludf.DUMMYFUNCTION("""COMPUTED_VALUE"""),"A Expansão do Ensino Superior em Debate")</f>
        <v>A Expansão do Ensino Superior em Debate</v>
      </c>
      <c r="B38" s="24" t="str">
        <f>IFERROR(__xludf.DUMMYFUNCTION("""COMPUTED_VALUE"""),"Regina Maria Gomes da Silva, Virgínia Célia Calvacanti de Holanda")</f>
        <v>Regina Maria Gomes da Silva, Virgínia Célia Calvacanti de Holanda</v>
      </c>
      <c r="C38" s="24" t="str">
        <f>IFERROR(__xludf.DUMMYFUNCTION("""COMPUTED_VALUE"""),"Sobral")</f>
        <v>Sobral</v>
      </c>
      <c r="D38" s="24" t="str">
        <f>IFERROR(__xludf.DUMMYFUNCTION("""COMPUTED_VALUE"""),"Edições UVA")</f>
        <v>Edições UVA</v>
      </c>
      <c r="E38" s="25">
        <f>IFERROR(__xludf.DUMMYFUNCTION("""COMPUTED_VALUE"""),2018.0)</f>
        <v>2018</v>
      </c>
      <c r="F38" s="24" t="str">
        <f>IFERROR(__xludf.DUMMYFUNCTION("""COMPUTED_VALUE"""),"Ensino Superior, Desenvolvimento regional, Cidades médias")</f>
        <v>Ensino Superior, Desenvolvimento regional, Cidades médias</v>
      </c>
      <c r="G38" s="28" t="str">
        <f>IFERROR(__xludf.DUMMYFUNCTION("""COMPUTED_VALUE"""),"9788595390232")</f>
        <v>9788595390232</v>
      </c>
      <c r="H38" s="29" t="str">
        <f>IFERROR(__xludf.DUMMYFUNCTION("""COMPUTED_VALUE"""),"http://www.uvanet.br/edicoes_uva/gera_xml.php?arquivo=expansao_ensino_superior")</f>
        <v>http://www.uvanet.br/edicoes_uva/gera_xml.php?arquivo=expansao_ensino_superior</v>
      </c>
      <c r="I38" s="24" t="str">
        <f>IFERROR(__xludf.DUMMYFUNCTION("""COMPUTED_VALUE"""),"Ciências Humanas")</f>
        <v>Ciências Humanas</v>
      </c>
    </row>
    <row r="39">
      <c r="A39" s="24" t="str">
        <f>IFERROR(__xludf.DUMMYFUNCTION("""COMPUTED_VALUE"""),"A experiência do professor ouvinte de Matemática e o compromisso de uma educação responsável para alunos surdos ")</f>
        <v>A experiência do professor ouvinte de Matemática e o compromisso de uma educação responsável para alunos surdos </v>
      </c>
      <c r="B39" s="24" t="str">
        <f>IFERROR(__xludf.DUMMYFUNCTION("""COMPUTED_VALUE"""),"Charles Castro da Rosa, Ocivaldo da Silveira Pinheiro, Odilio Góes de Magalhães")</f>
        <v>Charles Castro da Rosa, Ocivaldo da Silveira Pinheiro, Odilio Góes de Magalhães</v>
      </c>
      <c r="C39" s="24" t="str">
        <f>IFERROR(__xludf.DUMMYFUNCTION("""COMPUTED_VALUE"""),"Macapá")</f>
        <v>Macapá</v>
      </c>
      <c r="D39" s="24" t="str">
        <f>IFERROR(__xludf.DUMMYFUNCTION("""COMPUTED_VALUE"""),"UNIFAP")</f>
        <v>UNIFAP</v>
      </c>
      <c r="E39" s="25">
        <f>IFERROR(__xludf.DUMMYFUNCTION("""COMPUTED_VALUE"""),2018.0)</f>
        <v>2018</v>
      </c>
      <c r="F39" s="24" t="str">
        <f>IFERROR(__xludf.DUMMYFUNCTION("""COMPUTED_VALUE"""),"Matemática; Professor Ouvinte; Alunos Surdos")</f>
        <v>Matemática; Professor Ouvinte; Alunos Surdos</v>
      </c>
      <c r="G39" s="28" t="str">
        <f>IFERROR(__xludf.DUMMYFUNCTION("""COMPUTED_VALUE"""),"9788554760472")</f>
        <v>9788554760472</v>
      </c>
      <c r="H39" s="29" t="str">
        <f>IFERROR(__xludf.DUMMYFUNCTION("""COMPUTED_VALUE"""),"https://www2.unifap.br/editora/files/2018/05/A-experi%c3%aancia-do-professor-ouvinte-de-Matem%c3%a1tica-e-o-compromisso-de-uma-educa%c3%a7%c3%a3o-respons%c3%a1vel-para-alunos-surdos.pdf")</f>
        <v>https://www2.unifap.br/editora/files/2018/05/A-experi%c3%aancia-do-professor-ouvinte-de-Matem%c3%a1tica-e-o-compromisso-de-uma-educa%c3%a7%c3%a3o-respons%c3%a1vel-para-alunos-surdos.pdf</v>
      </c>
      <c r="I39" s="24" t="str">
        <f>IFERROR(__xludf.DUMMYFUNCTION("""COMPUTED_VALUE"""),"Ciências Humanas")</f>
        <v>Ciências Humanas</v>
      </c>
    </row>
    <row r="40">
      <c r="A40" s="24" t="str">
        <f>IFERROR(__xludf.DUMMYFUNCTION("""COMPUTED_VALUE"""),"A extensão como potencial para uma educação cidadã")</f>
        <v>A extensão como potencial para uma educação cidadã</v>
      </c>
      <c r="B40" s="24" t="str">
        <f>IFERROR(__xludf.DUMMYFUNCTION("""COMPUTED_VALUE"""),"Josué Adam Lazier; Ismael Forte Valentin (org.)")</f>
        <v>Josué Adam Lazier; Ismael Forte Valentin (org.)</v>
      </c>
      <c r="C40" s="24" t="str">
        <f>IFERROR(__xludf.DUMMYFUNCTION("""COMPUTED_VALUE"""),"Piracicaba, SP")</f>
        <v>Piracicaba, SP</v>
      </c>
      <c r="D40" s="24" t="str">
        <f>IFERROR(__xludf.DUMMYFUNCTION("""COMPUTED_VALUE"""),"UNIMEP")</f>
        <v>UNIMEP</v>
      </c>
      <c r="E40" s="25">
        <f>IFERROR(__xludf.DUMMYFUNCTION("""COMPUTED_VALUE"""),2017.0)</f>
        <v>2017</v>
      </c>
      <c r="F40" s="24" t="str">
        <f>IFERROR(__xludf.DUMMYFUNCTION("""COMPUTED_VALUE"""),"Extensão Universitária. Desenvolvimento Humano. Cidadania")</f>
        <v>Extensão Universitária. Desenvolvimento Humano. Cidadania</v>
      </c>
      <c r="G40" s="28" t="str">
        <f>IFERROR(__xludf.DUMMYFUNCTION("""COMPUTED_VALUE"""),"9788585541897")</f>
        <v>9788585541897</v>
      </c>
      <c r="H40" s="29" t="str">
        <f>IFERROR(__xludf.DUMMYFUNCTION("""COMPUTED_VALUE"""),"http://editora.metodista.br/livros-gratis/a-extensao-como-potencial-para-uma-educacao-cidada/at_download/file")</f>
        <v>http://editora.metodista.br/livros-gratis/a-extensao-como-potencial-para-uma-educacao-cidada/at_download/file</v>
      </c>
      <c r="I40" s="24" t="str">
        <f>IFERROR(__xludf.DUMMYFUNCTION("""COMPUTED_VALUE"""),"Ciências Humanas")</f>
        <v>Ciências Humanas</v>
      </c>
    </row>
    <row r="41">
      <c r="A41" s="24" t="str">
        <f>IFERROR(__xludf.DUMMYFUNCTION("""COMPUTED_VALUE"""),"A formação de professores em educação matemática na perspectiva da educação especial e inclusiva")</f>
        <v>A formação de professores em educação matemática na perspectiva da educação especial e inclusiva</v>
      </c>
      <c r="B41" s="24" t="str">
        <f>IFERROR(__xludf.DUMMYFUNCTION("""COMPUTED_VALUE"""),"Simone de Almeida Delphim Leal; Alberto Abad (org.)")</f>
        <v>Simone de Almeida Delphim Leal; Alberto Abad (org.)</v>
      </c>
      <c r="C41" s="24" t="str">
        <f>IFERROR(__xludf.DUMMYFUNCTION("""COMPUTED_VALUE"""),"Macapá")</f>
        <v>Macapá</v>
      </c>
      <c r="D41" s="24" t="str">
        <f>IFERROR(__xludf.DUMMYFUNCTION("""COMPUTED_VALUE"""),"UNIFAP")</f>
        <v>UNIFAP</v>
      </c>
      <c r="E41" s="25">
        <f>IFERROR(__xludf.DUMMYFUNCTION("""COMPUTED_VALUE"""),2019.0)</f>
        <v>2019</v>
      </c>
      <c r="F41" s="24" t="str">
        <f>IFERROR(__xludf.DUMMYFUNCTION("""COMPUTED_VALUE"""),"Educação Especial; Superdotação; Ensino")</f>
        <v>Educação Especial; Superdotação; Ensino</v>
      </c>
      <c r="G41" s="28" t="str">
        <f>IFERROR(__xludf.DUMMYFUNCTION("""COMPUTED_VALUE"""),"9788554760854")</f>
        <v>9788554760854</v>
      </c>
      <c r="H41" s="29" t="str">
        <f>IFERROR(__xludf.DUMMYFUNCTION("""COMPUTED_VALUE"""),"https://www2.unifap.br/editora/files/2020/02/formacao-de-professores-em-educacao-matematica.pdf")</f>
        <v>https://www2.unifap.br/editora/files/2020/02/formacao-de-professores-em-educacao-matematica.pdf</v>
      </c>
      <c r="I41" s="24" t="str">
        <f>IFERROR(__xludf.DUMMYFUNCTION("""COMPUTED_VALUE"""),"Ciências Humanas")</f>
        <v>Ciências Humanas</v>
      </c>
    </row>
    <row r="42">
      <c r="A42" s="24" t="str">
        <f>IFERROR(__xludf.DUMMYFUNCTION("""COMPUTED_VALUE"""),"A formação de professores: entre a universidade e a educação básica")</f>
        <v>A formação de professores: entre a universidade e a educação básica</v>
      </c>
      <c r="B42" s="24" t="str">
        <f>IFERROR(__xludf.DUMMYFUNCTION("""COMPUTED_VALUE"""),"João Batista Gonçalves Bueno; Patrícia Cristina de Aragão; Paula Almeida de Castro; (org.)")</f>
        <v>João Batista Gonçalves Bueno; Patrícia Cristina de Aragão; Paula Almeida de Castro; (org.)</v>
      </c>
      <c r="C42" s="24" t="str">
        <f>IFERROR(__xludf.DUMMYFUNCTION("""COMPUTED_VALUE"""),"Campina Grande")</f>
        <v>Campina Grande</v>
      </c>
      <c r="D42" s="24" t="str">
        <f>IFERROR(__xludf.DUMMYFUNCTION("""COMPUTED_VALUE"""),"EDUEPB")</f>
        <v>EDUEPB</v>
      </c>
      <c r="E42" s="25">
        <f>IFERROR(__xludf.DUMMYFUNCTION("""COMPUTED_VALUE"""),2019.0)</f>
        <v>2019</v>
      </c>
      <c r="F42" s="24" t="str">
        <f>IFERROR(__xludf.DUMMYFUNCTION("""COMPUTED_VALUE"""),"Educação Básica. Formação de Professores. Pós-Graduação. Pesquisa. Ensino")</f>
        <v>Educação Básica. Formação de Professores. Pós-Graduação. Pesquisa. Ensino</v>
      </c>
      <c r="G42" s="28" t="str">
        <f>IFERROR(__xludf.DUMMYFUNCTION("""COMPUTED_VALUE"""),"9788578796068")</f>
        <v>9788578796068</v>
      </c>
      <c r="H42" s="29" t="str">
        <f>IFERROR(__xludf.DUMMYFUNCTION("""COMPUTED_VALUE"""),"http://eduepb.uepb.edu.br/download/a-formacao-de-professores-entre-a-universidade-e-a-educacao-basica/?wpdmdl=915&amp;#038;masterkey=5dee43e03e85c")</f>
        <v>http://eduepb.uepb.edu.br/download/a-formacao-de-professores-entre-a-universidade-e-a-educacao-basica/?wpdmdl=915&amp;#038;masterkey=5dee43e03e85c</v>
      </c>
      <c r="I42" s="24" t="str">
        <f>IFERROR(__xludf.DUMMYFUNCTION("""COMPUTED_VALUE"""),"Ciências Humanas")</f>
        <v>Ciências Humanas</v>
      </c>
    </row>
    <row r="43">
      <c r="A43" s="24" t="str">
        <f>IFERROR(__xludf.DUMMYFUNCTION("""COMPUTED_VALUE"""),"A Fragmentação do Espaço no Recife")</f>
        <v>A Fragmentação do Espaço no Recife</v>
      </c>
      <c r="B43" s="24" t="str">
        <f>IFERROR(__xludf.DUMMYFUNCTION("""COMPUTED_VALUE"""),"Otávio Augusto Alves dos Santos")</f>
        <v>Otávio Augusto Alves dos Santos</v>
      </c>
      <c r="C43" s="24" t="str">
        <f>IFERROR(__xludf.DUMMYFUNCTION("""COMPUTED_VALUE"""),"Recife")</f>
        <v>Recife</v>
      </c>
      <c r="D43" s="24" t="str">
        <f>IFERROR(__xludf.DUMMYFUNCTION("""COMPUTED_VALUE"""),"Editora Universitária da UFRPE")</f>
        <v>Editora Universitária da UFRPE</v>
      </c>
      <c r="E43" s="25">
        <f>IFERROR(__xludf.DUMMYFUNCTION("""COMPUTED_VALUE"""),2020.0)</f>
        <v>2020</v>
      </c>
      <c r="F43" s="24" t="str">
        <f>IFERROR(__xludf.DUMMYFUNCTION("""COMPUTED_VALUE"""),"Paisagens fragmentadas; Isolamento social; Condomínios; Segregação")</f>
        <v>Paisagens fragmentadas; Isolamento social; Condomínios; Segregação</v>
      </c>
      <c r="G43" s="28" t="str">
        <f>IFERROR(__xludf.DUMMYFUNCTION("""COMPUTED_VALUE"""),"9786586466003")</f>
        <v>9786586466003</v>
      </c>
      <c r="H43" s="29" t="str">
        <f>IFERROR(__xludf.DUMMYFUNCTION("""COMPUTED_VALUE"""),"https://drive.google.com/file/d/1Ce8pf6OdmHaqGStOPCyF_KXN2_tYIyvg/view ")</f>
        <v>https://drive.google.com/file/d/1Ce8pf6OdmHaqGStOPCyF_KXN2_tYIyvg/view </v>
      </c>
      <c r="I43" s="24" t="str">
        <f>IFERROR(__xludf.DUMMYFUNCTION("""COMPUTED_VALUE"""),"Ciências Humanas")</f>
        <v>Ciências Humanas</v>
      </c>
    </row>
    <row r="44">
      <c r="A44" s="24" t="str">
        <f>IFERROR(__xludf.DUMMYFUNCTION("""COMPUTED_VALUE"""),"A função do dogma na investigação científica, de Thomas Kuhn")</f>
        <v>A função do dogma na investigação científica, de Thomas Kuhn</v>
      </c>
      <c r="B44" s="24" t="str">
        <f>IFERROR(__xludf.DUMMYFUNCTION("""COMPUTED_VALUE"""),"Kuhn, Thomas; Barra, Eduardo Salles de Oliveira; Deus, Jorge Dias de")</f>
        <v>Kuhn, Thomas; Barra, Eduardo Salles de Oliveira; Deus, Jorge Dias de</v>
      </c>
      <c r="C44" s="24" t="str">
        <f>IFERROR(__xludf.DUMMYFUNCTION("""COMPUTED_VALUE"""),"Curitiba")</f>
        <v>Curitiba</v>
      </c>
      <c r="D44" s="24" t="str">
        <f>IFERROR(__xludf.DUMMYFUNCTION("""COMPUTED_VALUE"""),"UFPR/ SCHLA")</f>
        <v>UFPR/ SCHLA</v>
      </c>
      <c r="E44" s="25">
        <f>IFERROR(__xludf.DUMMYFUNCTION("""COMPUTED_VALUE"""),2012.0)</f>
        <v>2012</v>
      </c>
      <c r="F44" s="24" t="str">
        <f>IFERROR(__xludf.DUMMYFUNCTION("""COMPUTED_VALUE"""),"Ciência - História; Ciência - Filosofia")</f>
        <v>Ciência - História; Ciência - Filosofia</v>
      </c>
      <c r="G44" s="28" t="str">
        <f>IFERROR(__xludf.DUMMYFUNCTION("""COMPUTED_VALUE"""),"9788599229125")</f>
        <v>9788599229125</v>
      </c>
      <c r="H44" s="29" t="str">
        <f>IFERROR(__xludf.DUMMYFUNCTION("""COMPUTED_VALUE"""),"http://hdl.handle.net/1884/29751")</f>
        <v>http://hdl.handle.net/1884/29751</v>
      </c>
      <c r="I44" s="24" t="str">
        <f>IFERROR(__xludf.DUMMYFUNCTION("""COMPUTED_VALUE"""),"Ciências Humanas")</f>
        <v>Ciências Humanas</v>
      </c>
    </row>
    <row r="45">
      <c r="A45" s="24" t="str">
        <f>IFERROR(__xludf.DUMMYFUNCTION("""COMPUTED_VALUE"""),"A Fundeste e o ensino superior no oeste catarinense: 50 anos de história*")</f>
        <v>A Fundeste e o ensino superior no oeste catarinense: 50 anos de história*</v>
      </c>
      <c r="B45" s="24" t="str">
        <f>IFERROR(__xludf.DUMMYFUNCTION("""COMPUTED_VALUE"""),"Mirian Carbonera; André Luiz Onghero")</f>
        <v>Mirian Carbonera; André Luiz Onghero</v>
      </c>
      <c r="C45" s="24" t="str">
        <f>IFERROR(__xludf.DUMMYFUNCTION("""COMPUTED_VALUE"""),"Chapecó")</f>
        <v>Chapecó</v>
      </c>
      <c r="D45" s="24" t="str">
        <f>IFERROR(__xludf.DUMMYFUNCTION("""COMPUTED_VALUE"""),"Argos")</f>
        <v>Argos</v>
      </c>
      <c r="E45" s="25">
        <f>IFERROR(__xludf.DUMMYFUNCTION("""COMPUTED_VALUE"""),2020.0)</f>
        <v>2020</v>
      </c>
      <c r="F45" s="24" t="str">
        <f>IFERROR(__xludf.DUMMYFUNCTION("""COMPUTED_VALUE"""),"Educação - Ensino superior - Oeste Catarinense; Fundeste - História")</f>
        <v>Educação - Ensino superior - Oeste Catarinense; Fundeste - História</v>
      </c>
      <c r="G45" s="28" t="str">
        <f>IFERROR(__xludf.DUMMYFUNCTION("""COMPUTED_VALUE"""),"9786588029015")</f>
        <v>9786588029015</v>
      </c>
      <c r="H45" s="29" t="str">
        <f>IFERROR(__xludf.DUMMYFUNCTION("""COMPUTED_VALUE"""),"https://www.editoraargos.com.br/farol/editoraargos/ebook/a-fundeste-e-o-ensino-superior-no-oeste-catarinense-50-anos-de-historia/1306241/")</f>
        <v>https://www.editoraargos.com.br/farol/editoraargos/ebook/a-fundeste-e-o-ensino-superior-no-oeste-catarinense-50-anos-de-historia/1306241/</v>
      </c>
      <c r="I45" s="24" t="str">
        <f>IFERROR(__xludf.DUMMYFUNCTION("""COMPUTED_VALUE"""),"Ciências Humanas")</f>
        <v>Ciências Humanas</v>
      </c>
    </row>
    <row r="46">
      <c r="A46" s="24" t="str">
        <f>IFERROR(__xludf.DUMMYFUNCTION("""COMPUTED_VALUE"""),"A história da educação em manuscritos, periódicos e compêndios do XIX e XX")</f>
        <v>A história da educação em manuscritos, periódicos e compêndios do XIX e XX</v>
      </c>
      <c r="B46" s="24" t="str">
        <f>IFERROR(__xludf.DUMMYFUNCTION("""COMPUTED_VALUE"""),"Edgleide de Oliveira Clemente da Silva, Ivanildo Gomes dos Santos; Suzana Lopes de Albuquerque, (org.) ")</f>
        <v>Edgleide de Oliveira Clemente da Silva, Ivanildo Gomes dos Santos; Suzana Lopes de Albuquerque, (org.) </v>
      </c>
      <c r="C46" s="24" t="str">
        <f>IFERROR(__xludf.DUMMYFUNCTION("""COMPUTED_VALUE"""),"Rio de Janeiro, RJ")</f>
        <v>Rio de Janeiro, RJ</v>
      </c>
      <c r="D46" s="24" t="str">
        <f>IFERROR(__xludf.DUMMYFUNCTION("""COMPUTED_VALUE"""),"EdUERJ")</f>
        <v>EdUERJ</v>
      </c>
      <c r="E46" s="25">
        <f>IFERROR(__xludf.DUMMYFUNCTION("""COMPUTED_VALUE"""),2018.0)</f>
        <v>2018</v>
      </c>
      <c r="F46" s="24" t="str">
        <f>IFERROR(__xludf.DUMMYFUNCTION("""COMPUTED_VALUE"""),"Educação – História – Séc. XIX; Educação – História – Séc. XX")</f>
        <v>Educação – História – Séc. XIX; Educação – História – Séc. XX</v>
      </c>
      <c r="G46" s="28" t="str">
        <f>IFERROR(__xludf.DUMMYFUNCTION("""COMPUTED_VALUE"""),"9788575114834")</f>
        <v>9788575114834</v>
      </c>
      <c r="H46" s="29" t="str">
        <f>IFERROR(__xludf.DUMMYFUNCTION("""COMPUTED_VALUE"""),"http://books.scielo.org/id/d2cmj/pdf/silva-9788575114834.pdf")</f>
        <v>http://books.scielo.org/id/d2cmj/pdf/silva-9788575114834.pdf</v>
      </c>
      <c r="I46" s="24" t="str">
        <f>IFERROR(__xludf.DUMMYFUNCTION("""COMPUTED_VALUE"""),"Ciências Humanas")</f>
        <v>Ciências Humanas</v>
      </c>
    </row>
    <row r="47">
      <c r="A47" s="24" t="str">
        <f>IFERROR(__xludf.DUMMYFUNCTION("""COMPUTED_VALUE"""),"A história da educação em manuscritos, periódicos e compêndios do XIX e XX")</f>
        <v>A história da educação em manuscritos, periódicos e compêndios do XIX e XX</v>
      </c>
      <c r="B47" s="24" t="str">
        <f>IFERROR(__xludf.DUMMYFUNCTION("""COMPUTED_VALUE"""),"Edgleide de Oliveira Clemente da Silva, Ivanildo Gomes dos Santos e Suzana Lopes de Albuquerque (Orgs.)")</f>
        <v>Edgleide de Oliveira Clemente da Silva, Ivanildo Gomes dos Santos e Suzana Lopes de Albuquerque (Orgs.)</v>
      </c>
      <c r="C47" s="24" t="str">
        <f>IFERROR(__xludf.DUMMYFUNCTION("""COMPUTED_VALUE"""),"Rio de Janeiro")</f>
        <v>Rio de Janeiro</v>
      </c>
      <c r="D47" s="24" t="str">
        <f>IFERROR(__xludf.DUMMYFUNCTION("""COMPUTED_VALUE"""),"EdUERJ")</f>
        <v>EdUERJ</v>
      </c>
      <c r="E47" s="25">
        <f>IFERROR(__xludf.DUMMYFUNCTION("""COMPUTED_VALUE"""),2018.0)</f>
        <v>2018</v>
      </c>
      <c r="F47" s="24" t="str">
        <f>IFERROR(__xludf.DUMMYFUNCTION("""COMPUTED_VALUE"""),"Educação; História da educação; Manuscritos; Periódicos; Compêndios")</f>
        <v>Educação; História da educação; Manuscritos; Periódicos; Compêndios</v>
      </c>
      <c r="G47" s="28" t="str">
        <f>IFERROR(__xludf.DUMMYFUNCTION("""COMPUTED_VALUE"""),"9788575114834")</f>
        <v>9788575114834</v>
      </c>
      <c r="H47" s="29" t="str">
        <f>IFERROR(__xludf.DUMMYFUNCTION("""COMPUTED_VALUE"""),"https://www.eduerj.com/eng/?product=a-historia-da-educacao-em-manuscritos")</f>
        <v>https://www.eduerj.com/eng/?product=a-historia-da-educacao-em-manuscritos</v>
      </c>
      <c r="I47" s="24" t="str">
        <f>IFERROR(__xludf.DUMMYFUNCTION("""COMPUTED_VALUE"""),"Ciências Humanas")</f>
        <v>Ciências Humanas</v>
      </c>
    </row>
    <row r="48">
      <c r="A48" s="24" t="str">
        <f>IFERROR(__xludf.DUMMYFUNCTION("""COMPUTED_VALUE"""),"A história da educação em Mato Grosso do Sul: temas e abordagens. ")</f>
        <v>A história da educação em Mato Grosso do Sul: temas e abordagens. </v>
      </c>
      <c r="B48" s="24" t="str">
        <f>IFERROR(__xludf.DUMMYFUNCTION("""COMPUTED_VALUE"""),"Organizadoras: Adriana Aparecida Pinto, Alessandra Cristina Furtado. ")</f>
        <v>Organizadoras: Adriana Aparecida Pinto, Alessandra Cristina Furtado. </v>
      </c>
      <c r="C48" s="24" t="str">
        <f>IFERROR(__xludf.DUMMYFUNCTION("""COMPUTED_VALUE"""),"Dourados, MS")</f>
        <v>Dourados, MS</v>
      </c>
      <c r="D48" s="24" t="str">
        <f>IFERROR(__xludf.DUMMYFUNCTION("""COMPUTED_VALUE"""),"Ed. UFGD")</f>
        <v>Ed. UFGD</v>
      </c>
      <c r="E48" s="25">
        <f>IFERROR(__xludf.DUMMYFUNCTION("""COMPUTED_VALUE"""),2017.0)</f>
        <v>2017</v>
      </c>
      <c r="F48" s="24" t="str">
        <f>IFERROR(__xludf.DUMMYFUNCTION("""COMPUTED_VALUE"""),"Instituições escolares; Imprensa e impressos de natureza edu-cativa; História da educação de Mato Grosso do Sul")</f>
        <v>Instituições escolares; Imprensa e impressos de natureza edu-cativa; História da educação de Mato Grosso do Sul</v>
      </c>
      <c r="G48" s="28" t="str">
        <f>IFERROR(__xludf.DUMMYFUNCTION("""COMPUTED_VALUE"""),"9788581471471")</f>
        <v>9788581471471</v>
      </c>
      <c r="H48" s="29" t="str">
        <f>IFERROR(__xludf.DUMMYFUNCTION("""COMPUTED_VALUE"""),"http://omp.ufgd.edu.br/omp/index.php/livrosabertos/catalog/view/13/12/42-1")</f>
        <v>http://omp.ufgd.edu.br/omp/index.php/livrosabertos/catalog/view/13/12/42-1</v>
      </c>
      <c r="I48" s="24" t="str">
        <f>IFERROR(__xludf.DUMMYFUNCTION("""COMPUTED_VALUE"""),"Ciências Humanas")</f>
        <v>Ciências Humanas</v>
      </c>
    </row>
    <row r="49">
      <c r="A49" s="24" t="str">
        <f>IFERROR(__xludf.DUMMYFUNCTION("""COMPUTED_VALUE"""),"A história das ideias de Paulo Freire e a atual crise de paradigmas")</f>
        <v>A história das ideias de Paulo Freire e a atual crise de paradigmas</v>
      </c>
      <c r="B49" s="24" t="str">
        <f>IFERROR(__xludf.DUMMYFUNCTION("""COMPUTED_VALUE"""),"Afonso Celso Scocuglia")</f>
        <v>Afonso Celso Scocuglia</v>
      </c>
      <c r="C49" s="24" t="str">
        <f>IFERROR(__xludf.DUMMYFUNCTION("""COMPUTED_VALUE"""),"João Pessoa")</f>
        <v>João Pessoa</v>
      </c>
      <c r="D49" s="24" t="str">
        <f>IFERROR(__xludf.DUMMYFUNCTION("""COMPUTED_VALUE"""),"Editora da UFPB")</f>
        <v>Editora da UFPB</v>
      </c>
      <c r="E49" s="25">
        <f>IFERROR(__xludf.DUMMYFUNCTION("""COMPUTED_VALUE"""),2019.0)</f>
        <v>2019</v>
      </c>
      <c r="F49" s="24" t="str">
        <f>IFERROR(__xludf.DUMMYFUNCTION("""COMPUTED_VALUE"""),"Educação-desenvolvimento. Política e pedagogia. Formação do educador")</f>
        <v>Educação-desenvolvimento. Política e pedagogia. Formação do educador</v>
      </c>
      <c r="G49" s="28" t="str">
        <f>IFERROR(__xludf.DUMMYFUNCTION("""COMPUTED_VALUE"""),"9788523713959")</f>
        <v>9788523713959</v>
      </c>
      <c r="H49" s="29" t="str">
        <f>IFERROR(__xludf.DUMMYFUNCTION("""COMPUTED_VALUE"""),"http://www.editora.ufpb.br/sistema/press5/index.php/UFPB/catalog/book/138")</f>
        <v>http://www.editora.ufpb.br/sistema/press5/index.php/UFPB/catalog/book/138</v>
      </c>
      <c r="I49" s="24" t="str">
        <f>IFERROR(__xludf.DUMMYFUNCTION("""COMPUTED_VALUE"""),"Ciências Humanas")</f>
        <v>Ciências Humanas</v>
      </c>
    </row>
    <row r="50">
      <c r="A50" s="24" t="str">
        <f>IFERROR(__xludf.DUMMYFUNCTION("""COMPUTED_VALUE"""),"A identidade da América Latina: o projeto intelectual de Leopoldo Zea")</f>
        <v>A identidade da América Latina: o projeto intelectual de Leopoldo Zea</v>
      </c>
      <c r="B50" s="24" t="str">
        <f>IFERROR(__xludf.DUMMYFUNCTION("""COMPUTED_VALUE"""),"Luciano dos Santos")</f>
        <v>Luciano dos Santos</v>
      </c>
      <c r="C50" s="24" t="str">
        <f>IFERROR(__xludf.DUMMYFUNCTION("""COMPUTED_VALUE"""),"Goiânia, GO")</f>
        <v>Goiânia, GO</v>
      </c>
      <c r="D50" s="24" t="str">
        <f>IFERROR(__xludf.DUMMYFUNCTION("""COMPUTED_VALUE"""),"Editora IFG")</f>
        <v>Editora IFG</v>
      </c>
      <c r="E50" s="25">
        <f>IFERROR(__xludf.DUMMYFUNCTION("""COMPUTED_VALUE"""),2016.0)</f>
        <v>2016</v>
      </c>
      <c r="F50" s="24" t="str">
        <f>IFERROR(__xludf.DUMMYFUNCTION("""COMPUTED_VALUE"""),"Leopoldo Zea; Filosofia; História das ideias; Filosofia – história; Filosofia – projeto intelectual.Leopoldo Zea; Filosofia; História das ideias; Filosofia – história; Filosofia – projeto intelectual")</f>
        <v>Leopoldo Zea; Filosofia; História das ideias; Filosofia – história; Filosofia – projeto intelectual.Leopoldo Zea; Filosofia; História das ideias; Filosofia – história; Filosofia – projeto intelectual</v>
      </c>
      <c r="G50" s="28" t="str">
        <f>IFERROR(__xludf.DUMMYFUNCTION("""COMPUTED_VALUE"""),"9788567022208")</f>
        <v>9788567022208</v>
      </c>
      <c r="H50" s="29" t="str">
        <f>IFERROR(__xludf.DUMMYFUNCTION("""COMPUTED_VALUE"""),"https://editora.ifg.edu.br/editoraifg/catalog/view/15/14/45-1")</f>
        <v>https://editora.ifg.edu.br/editoraifg/catalog/view/15/14/45-1</v>
      </c>
      <c r="I50" s="24" t="str">
        <f>IFERROR(__xludf.DUMMYFUNCTION("""COMPUTED_VALUE"""),"Ciências Humanas")</f>
        <v>Ciências Humanas</v>
      </c>
    </row>
    <row r="51">
      <c r="A51" s="24" t="str">
        <f>IFERROR(__xludf.DUMMYFUNCTION("""COMPUTED_VALUE"""),"A imagem do índio: discursos e representações")</f>
        <v>A imagem do índio: discursos e representações</v>
      </c>
      <c r="B51" s="24" t="str">
        <f>IFERROR(__xludf.DUMMYFUNCTION("""COMPUTED_VALUE"""),"Rita de Cássia Pacheco Limberti")</f>
        <v>Rita de Cássia Pacheco Limberti</v>
      </c>
      <c r="C51" s="24" t="str">
        <f>IFERROR(__xludf.DUMMYFUNCTION("""COMPUTED_VALUE"""),"Dourados, MS")</f>
        <v>Dourados, MS</v>
      </c>
      <c r="D51" s="24" t="str">
        <f>IFERROR(__xludf.DUMMYFUNCTION("""COMPUTED_VALUE"""),"Ed. UFGD")</f>
        <v>Ed. UFGD</v>
      </c>
      <c r="E51" s="25">
        <f>IFERROR(__xludf.DUMMYFUNCTION("""COMPUTED_VALUE"""),2012.0)</f>
        <v>2012</v>
      </c>
      <c r="F51" s="24" t="str">
        <f>IFERROR(__xludf.DUMMYFUNCTION("""COMPUTED_VALUE"""),"Índios - Brasil; Representação indígena; Kaiowá")</f>
        <v>Índios - Brasil; Representação indígena; Kaiowá</v>
      </c>
      <c r="G51" s="28" t="str">
        <f>IFERROR(__xludf.DUMMYFUNCTION("""COMPUTED_VALUE"""),"9788561228781")</f>
        <v>9788561228781</v>
      </c>
      <c r="H51" s="29" t="str">
        <f>IFERROR(__xludf.DUMMYFUNCTION("""COMPUTED_VALUE"""),"http://omp.ufgd.edu.br/omp/index.php/livrosabertos/catalog/view/14/13/45-1")</f>
        <v>http://omp.ufgd.edu.br/omp/index.php/livrosabertos/catalog/view/14/13/45-1</v>
      </c>
      <c r="I51" s="24" t="str">
        <f>IFERROR(__xludf.DUMMYFUNCTION("""COMPUTED_VALUE"""),"Ciências Humanas")</f>
        <v>Ciências Humanas</v>
      </c>
    </row>
    <row r="52">
      <c r="A52" s="24" t="str">
        <f>IFERROR(__xludf.DUMMYFUNCTION("""COMPUTED_VALUE"""),"A importância de Wittgeinstein...para Geografia e Sociologia")</f>
        <v>A importância de Wittgeinstein...para Geografia e Sociologia</v>
      </c>
      <c r="B52" s="24" t="str">
        <f>IFERROR(__xludf.DUMMYFUNCTION("""COMPUTED_VALUE"""),"Nitsche, Julio Cesar Vaz")</f>
        <v>Nitsche, Julio Cesar Vaz</v>
      </c>
      <c r="C52" s="24" t="str">
        <f>IFERROR(__xludf.DUMMYFUNCTION("""COMPUTED_VALUE"""),"Curitiba")</f>
        <v>Curitiba</v>
      </c>
      <c r="D52" s="24" t="str">
        <f>IFERROR(__xludf.DUMMYFUNCTION("""COMPUTED_VALUE"""),"Ed. do Autor")</f>
        <v>Ed. do Autor</v>
      </c>
      <c r="E52" s="25">
        <f>IFERROR(__xludf.DUMMYFUNCTION("""COMPUTED_VALUE"""),2020.0)</f>
        <v>2020</v>
      </c>
      <c r="F52" s="24" t="str">
        <f>IFERROR(__xludf.DUMMYFUNCTION("""COMPUTED_VALUE"""),"Entendendo Wittgenstein; Questões filosóficas sobre a Geografia e Sociologia")</f>
        <v>Entendendo Wittgenstein; Questões filosóficas sobre a Geografia e Sociologia</v>
      </c>
      <c r="G52" s="28" t="str">
        <f>IFERROR(__xludf.DUMMYFUNCTION("""COMPUTED_VALUE"""),"9786500031379")</f>
        <v>9786500031379</v>
      </c>
      <c r="H52" s="29" t="str">
        <f>IFERROR(__xludf.DUMMYFUNCTION("""COMPUTED_VALUE"""),"https://hdl.handle.net/1884/67110")</f>
        <v>https://hdl.handle.net/1884/67110</v>
      </c>
      <c r="I52" s="24" t="str">
        <f>IFERROR(__xludf.DUMMYFUNCTION("""COMPUTED_VALUE"""),"Ciências Humanas")</f>
        <v>Ciências Humanas</v>
      </c>
    </row>
    <row r="53">
      <c r="A53" s="24" t="str">
        <f>IFERROR(__xludf.DUMMYFUNCTION("""COMPUTED_VALUE"""),"A influência narratológica enoqueana no desenvolvimento epistemológico do cristianismo primitivo")</f>
        <v>A influência narratológica enoqueana no desenvolvimento epistemológico do cristianismo primitivo</v>
      </c>
      <c r="B53" s="24" t="str">
        <f>IFERROR(__xludf.DUMMYFUNCTION("""COMPUTED_VALUE"""),"Filipe Guimarães")</f>
        <v>Filipe Guimarães</v>
      </c>
      <c r="C53" s="24" t="str">
        <f>IFERROR(__xludf.DUMMYFUNCTION("""COMPUTED_VALUE"""),"Macapá")</f>
        <v>Macapá</v>
      </c>
      <c r="D53" s="24" t="str">
        <f>IFERROR(__xludf.DUMMYFUNCTION("""COMPUTED_VALUE"""),"UNIFAP")</f>
        <v>UNIFAP</v>
      </c>
      <c r="E53" s="25">
        <f>IFERROR(__xludf.DUMMYFUNCTION("""COMPUTED_VALUE"""),2018.0)</f>
        <v>2018</v>
      </c>
      <c r="F53" s="24" t="str">
        <f>IFERROR(__xludf.DUMMYFUNCTION("""COMPUTED_VALUE"""),"Religião; Cristianismo; Enoque")</f>
        <v>Religião; Cristianismo; Enoque</v>
      </c>
      <c r="G53" s="28" t="str">
        <f>IFERROR(__xludf.DUMMYFUNCTION("""COMPUTED_VALUE"""),"9788554760359")</f>
        <v>9788554760359</v>
      </c>
      <c r="H53" s="29" t="str">
        <f>IFERROR(__xludf.DUMMYFUNCTION("""COMPUTED_VALUE"""),"https://www2.unifap.br/editora/files/2019/07/a-influencia-narratologica-enoqueana.pdf")</f>
        <v>https://www2.unifap.br/editora/files/2019/07/a-influencia-narratologica-enoqueana.pdf</v>
      </c>
      <c r="I53" s="24" t="str">
        <f>IFERROR(__xludf.DUMMYFUNCTION("""COMPUTED_VALUE"""),"Ciências Humanas")</f>
        <v>Ciências Humanas</v>
      </c>
    </row>
    <row r="54">
      <c r="A54" s="24" t="str">
        <f>IFERROR(__xludf.DUMMYFUNCTION("""COMPUTED_VALUE"""),"A instrução pública nas vozes dos portadores de futuros (Brasil – séculos XIX e XX)")</f>
        <v>A instrução pública nas vozes dos portadores de futuros (Brasil – séculos XIX e XX)</v>
      </c>
      <c r="B54" s="24" t="str">
        <f>IFERROR(__xludf.DUMMYFUNCTION("""COMPUTED_VALUE"""),"Monarcha, Carlos")</f>
        <v>Monarcha, Carlos</v>
      </c>
      <c r="C54" s="24" t="str">
        <f>IFERROR(__xludf.DUMMYFUNCTION("""COMPUTED_VALUE"""),"Uberlândia")</f>
        <v>Uberlândia</v>
      </c>
      <c r="D54" s="24" t="str">
        <f>IFERROR(__xludf.DUMMYFUNCTION("""COMPUTED_VALUE"""),"EDUFU")</f>
        <v>EDUFU</v>
      </c>
      <c r="E54" s="25">
        <f>IFERROR(__xludf.DUMMYFUNCTION("""COMPUTED_VALUE"""),2019.0)</f>
        <v>2019</v>
      </c>
      <c r="F54" s="24" t="str">
        <f>IFERROR(__xludf.DUMMYFUNCTION("""COMPUTED_VALUE"""),"Educação - História - Brasil; Intelectuais; Discursos, alocuções, etc.")</f>
        <v>Educação - História - Brasil; Intelectuais; Discursos, alocuções, etc.</v>
      </c>
      <c r="G54" s="28" t="str">
        <f>IFERROR(__xludf.DUMMYFUNCTION("""COMPUTED_VALUE"""),"9788570785008 (ebook)")</f>
        <v>9788570785008 (ebook)</v>
      </c>
      <c r="H54" s="29" t="str">
        <f>IFERROR(__xludf.DUMMYFUNCTION("""COMPUTED_VALUE"""),"http://www.edufu.ufu.br/sites/edufu.ufu.br/files/a_instrucao_publica_2019_edufu.pdf")</f>
        <v>http://www.edufu.ufu.br/sites/edufu.ufu.br/files/a_instrucao_publica_2019_edufu.pdf</v>
      </c>
      <c r="I54" s="24" t="str">
        <f>IFERROR(__xludf.DUMMYFUNCTION("""COMPUTED_VALUE"""),"Ciências Humanas")</f>
        <v>Ciências Humanas</v>
      </c>
    </row>
    <row r="55">
      <c r="A55" s="24" t="str">
        <f>IFERROR(__xludf.DUMMYFUNCTION("""COMPUTED_VALUE"""),"A luta pela terra e a igreja católica nos Vales do Acre e Purus (1970-1980)")</f>
        <v>A luta pela terra e a igreja católica nos Vales do Acre e Purus (1970-1980)</v>
      </c>
      <c r="B55" s="24" t="str">
        <f>IFERROR(__xludf.DUMMYFUNCTION("""COMPUTED_VALUE"""),"Sandra Teresa Cadiolli Basilio")</f>
        <v>Sandra Teresa Cadiolli Basilio</v>
      </c>
      <c r="C55" s="24" t="str">
        <f>IFERROR(__xludf.DUMMYFUNCTION("""COMPUTED_VALUE"""),"Rio Branco")</f>
        <v>Rio Branco</v>
      </c>
      <c r="D55" s="24" t="str">
        <f>IFERROR(__xludf.DUMMYFUNCTION("""COMPUTED_VALUE"""),"Edufac")</f>
        <v>Edufac</v>
      </c>
      <c r="E55" s="25">
        <f>IFERROR(__xludf.DUMMYFUNCTION("""COMPUTED_VALUE"""),2019.0)</f>
        <v>2019</v>
      </c>
      <c r="F55" s="24" t="str">
        <f>IFERROR(__xludf.DUMMYFUNCTION("""COMPUTED_VALUE"""),"Camponeses; Igreja e problemas sociais; Posse da terra")</f>
        <v>Camponeses; Igreja e problemas sociais; Posse da terra</v>
      </c>
      <c r="G55" s="28" t="str">
        <f>IFERROR(__xludf.DUMMYFUNCTION("""COMPUTED_VALUE"""),"9788582361108")</f>
        <v>9788582361108</v>
      </c>
      <c r="H55" s="29" t="str">
        <f>IFERROR(__xludf.DUMMYFUNCTION("""COMPUTED_VALUE"""),"http://www2.ufac.br/editora/livros/Alutapelaterra_PUBLICACAO.pdf")</f>
        <v>http://www2.ufac.br/editora/livros/Alutapelaterra_PUBLICACAO.pdf</v>
      </c>
      <c r="I55" s="24" t="str">
        <f>IFERROR(__xludf.DUMMYFUNCTION("""COMPUTED_VALUE"""),"Ciências Humanas")</f>
        <v>Ciências Humanas</v>
      </c>
    </row>
    <row r="56">
      <c r="A56" s="24" t="str">
        <f>IFERROR(__xludf.DUMMYFUNCTION("""COMPUTED_VALUE"""),"A memória do feminino no candomblé: tecelagem e padronização do tecido social do povo de terreiro ")</f>
        <v>A memória do feminino no candomblé: tecelagem e padronização do tecido social do povo de terreiro </v>
      </c>
      <c r="B56" s="24" t="str">
        <f>IFERROR(__xludf.DUMMYFUNCTION("""COMPUTED_VALUE"""),"Ruy do Carmo; Póvoas")</f>
        <v>Ruy do Carmo; Póvoas</v>
      </c>
      <c r="C56" s="24" t="str">
        <f>IFERROR(__xludf.DUMMYFUNCTION("""COMPUTED_VALUE"""),"Ilhéus, BA")</f>
        <v>Ilhéus, BA</v>
      </c>
      <c r="D56" s="24" t="str">
        <f>IFERROR(__xludf.DUMMYFUNCTION("""COMPUTED_VALUE"""),"Editus")</f>
        <v>Editus</v>
      </c>
      <c r="E56" s="25">
        <f>IFERROR(__xludf.DUMMYFUNCTION("""COMPUTED_VALUE"""),2010.0)</f>
        <v>2010</v>
      </c>
      <c r="F56" s="24" t="str">
        <f>IFERROR(__xludf.DUMMYFUNCTION("""COMPUTED_VALUE"""),"Feminilidade – Aspectos religiosos – Candomblé; Candomblé – Brasil; Mulheres e religião")</f>
        <v>Feminilidade – Aspectos religiosos – Candomblé; Candomblé – Brasil; Mulheres e religião</v>
      </c>
      <c r="G56" s="28" t="str">
        <f>IFERROR(__xludf.DUMMYFUNCTION("""COMPUTED_VALUE"""),"9788574552088")</f>
        <v>9788574552088</v>
      </c>
      <c r="H56" s="29" t="str">
        <f>IFERROR(__xludf.DUMMYFUNCTION("""COMPUTED_VALUE"""),"http://www.uesc.br/editora/livrosdigitais2015/a_memoria_do_feminino.pdf")</f>
        <v>http://www.uesc.br/editora/livrosdigitais2015/a_memoria_do_feminino.pdf</v>
      </c>
      <c r="I56" s="24" t="str">
        <f>IFERROR(__xludf.DUMMYFUNCTION("""COMPUTED_VALUE"""),"Ciências Humanas")</f>
        <v>Ciências Humanas</v>
      </c>
    </row>
    <row r="57">
      <c r="A57" s="24" t="str">
        <f>IFERROR(__xludf.DUMMYFUNCTION("""COMPUTED_VALUE"""),"A Metamorfose da Feira Nordestina: A Inserção da Confecção Popular")</f>
        <v>A Metamorfose da Feira Nordestina: A Inserção da Confecção Popular</v>
      </c>
      <c r="B57" s="24" t="str">
        <f>IFERROR(__xludf.DUMMYFUNCTION("""COMPUTED_VALUE"""),"Luiz Antonio Araújo Gonçalves")</f>
        <v>Luiz Antonio Araújo Gonçalves</v>
      </c>
      <c r="C57" s="24" t="str">
        <f>IFERROR(__xludf.DUMMYFUNCTION("""COMPUTED_VALUE"""),"Sobral")</f>
        <v>Sobral</v>
      </c>
      <c r="D57" s="24" t="str">
        <f>IFERROR(__xludf.DUMMYFUNCTION("""COMPUTED_VALUE"""),"Edições UVA")</f>
        <v>Edições UVA</v>
      </c>
      <c r="E57" s="25">
        <f>IFERROR(__xludf.DUMMYFUNCTION("""COMPUTED_VALUE"""),2019.0)</f>
        <v>2019</v>
      </c>
      <c r="F57" s="24" t="str">
        <f>IFERROR(__xludf.DUMMYFUNCTION("""COMPUTED_VALUE"""),"Feiras livres - Brasil, Nordeste, Feiras livres - Brasil,; Nordeste - Mudança social, Cultura popular - Brasil,; Nordeste, Vestuário - Confecção")</f>
        <v>Feiras livres - Brasil, Nordeste, Feiras livres - Brasil,; Nordeste - Mudança social, Cultura popular - Brasil,; Nordeste, Vestuário - Confecção</v>
      </c>
      <c r="G57" s="28" t="str">
        <f>IFERROR(__xludf.DUMMYFUNCTION("""COMPUTED_VALUE"""),"9788580393576")</f>
        <v>9788580393576</v>
      </c>
      <c r="H57" s="29" t="str">
        <f>IFERROR(__xludf.DUMMYFUNCTION("""COMPUTED_VALUE"""),"http://www.uvanet.br/edicoes_uva/gera_xml.php?arquivo=metamorfose_feiras_nordestinas")</f>
        <v>http://www.uvanet.br/edicoes_uva/gera_xml.php?arquivo=metamorfose_feiras_nordestinas</v>
      </c>
      <c r="I57" s="24" t="str">
        <f>IFERROR(__xludf.DUMMYFUNCTION("""COMPUTED_VALUE"""),"Ciências Humanas")</f>
        <v>Ciências Humanas</v>
      </c>
    </row>
    <row r="58">
      <c r="A58" s="24" t="str">
        <f>IFERROR(__xludf.DUMMYFUNCTION("""COMPUTED_VALUE"""),"A morte midiatizada")</f>
        <v>A morte midiatizada</v>
      </c>
      <c r="B58" s="24" t="str">
        <f>IFERROR(__xludf.DUMMYFUNCTION("""COMPUTED_VALUE"""),"Renata Rezende Ribeiro")</f>
        <v>Renata Rezende Ribeiro</v>
      </c>
      <c r="C58" s="24" t="str">
        <f>IFERROR(__xludf.DUMMYFUNCTION("""COMPUTED_VALUE"""),"Niterói, RJ")</f>
        <v>Niterói, RJ</v>
      </c>
      <c r="D58" s="24" t="str">
        <f>IFERROR(__xludf.DUMMYFUNCTION("""COMPUTED_VALUE"""),"EDUFF")</f>
        <v>EDUFF</v>
      </c>
      <c r="E58" s="25"/>
      <c r="F58" s="24"/>
      <c r="G58" s="26"/>
      <c r="H58" s="29" t="str">
        <f>IFERROR(__xludf.DUMMYFUNCTION("""COMPUTED_VALUE"""),"https://bit.ly/A-morte-midiatizada")</f>
        <v>https://bit.ly/A-morte-midiatizada</v>
      </c>
      <c r="I58" s="24" t="str">
        <f>IFERROR(__xludf.DUMMYFUNCTION("""COMPUTED_VALUE"""),"Ciências Humanas")</f>
        <v>Ciências Humanas</v>
      </c>
    </row>
    <row r="59">
      <c r="A59" s="24" t="str">
        <f>IFERROR(__xludf.DUMMYFUNCTION("""COMPUTED_VALUE"""),"A multivocalidade da arqueologia pública no Brasil: comunidades, práticas e direito")</f>
        <v>A multivocalidade da arqueologia pública no Brasil: comunidades, práticas e direito</v>
      </c>
      <c r="B59" s="24" t="str">
        <f>IFERROR(__xludf.DUMMYFUNCTION("""COMPUTED_VALUE"""),"Campos, Juliano Bitencourt; Rodrigues, Marian Helen da Silva Gomes; Funari, Pedro Paulo Abreu")</f>
        <v>Campos, Juliano Bitencourt; Rodrigues, Marian Helen da Silva Gomes; Funari, Pedro Paulo Abreu</v>
      </c>
      <c r="C59" s="24" t="str">
        <f>IFERROR(__xludf.DUMMYFUNCTION("""COMPUTED_VALUE"""),"Criciúma")</f>
        <v>Criciúma</v>
      </c>
      <c r="D59" s="24" t="str">
        <f>IFERROR(__xludf.DUMMYFUNCTION("""COMPUTED_VALUE"""),"UNESC")</f>
        <v>UNESC</v>
      </c>
      <c r="E59" s="25">
        <f>IFERROR(__xludf.DUMMYFUNCTION("""COMPUTED_VALUE"""),2017.0)</f>
        <v>2017</v>
      </c>
      <c r="F59" s="24" t="str">
        <f>IFERROR(__xludf.DUMMYFUNCTION("""COMPUTED_VALUE"""),"Patrimônio arqueológico; Arqueologia pública; Arqueologia; Patrimônio cultural; História cultural; Preservação cultural")</f>
        <v>Patrimônio arqueológico; Arqueologia pública; Arqueologia; Patrimônio cultural; História cultural; Preservação cultural</v>
      </c>
      <c r="G59" s="26"/>
      <c r="H59" s="29" t="str">
        <f>IFERROR(__xludf.DUMMYFUNCTION("""COMPUTED_VALUE"""),"http://dx.doi.org/10.18616/arq")</f>
        <v>http://dx.doi.org/10.18616/arq</v>
      </c>
      <c r="I59" s="24" t="str">
        <f>IFERROR(__xludf.DUMMYFUNCTION("""COMPUTED_VALUE"""),"Ciências Humanas")</f>
        <v>Ciências Humanas</v>
      </c>
    </row>
    <row r="60">
      <c r="A60" s="24" t="str">
        <f>IFERROR(__xludf.DUMMYFUNCTION("""COMPUTED_VALUE"""),"A Nostalgia dos Apitos: a Estrada de Ferro de Sobral. Quarenta anos depois da partida do último trem de Camocim-CE. (1977-2017)")</f>
        <v>A Nostalgia dos Apitos: a Estrada de Ferro de Sobral. Quarenta anos depois da partida do último trem de Camocim-CE. (1977-2017)</v>
      </c>
      <c r="B60" s="24" t="str">
        <f>IFERROR(__xludf.DUMMYFUNCTION("""COMPUTED_VALUE"""),"Carlos Augusto Pereira dos Santos")</f>
        <v>Carlos Augusto Pereira dos Santos</v>
      </c>
      <c r="C60" s="24" t="str">
        <f>IFERROR(__xludf.DUMMYFUNCTION("""COMPUTED_VALUE"""),"Sobral")</f>
        <v>Sobral</v>
      </c>
      <c r="D60" s="24" t="str">
        <f>IFERROR(__xludf.DUMMYFUNCTION("""COMPUTED_VALUE"""),"Edições UVA")</f>
        <v>Edições UVA</v>
      </c>
      <c r="E60" s="25">
        <f>IFERROR(__xludf.DUMMYFUNCTION("""COMPUTED_VALUE"""),2017.0)</f>
        <v>2017</v>
      </c>
      <c r="F60" s="24" t="str">
        <f>IFERROR(__xludf.DUMMYFUNCTION("""COMPUTED_VALUE"""),"Camocin, Estrada de ferro de Sobral, História local, Memória")</f>
        <v>Camocin, Estrada de ferro de Sobral, História local, Memória</v>
      </c>
      <c r="G60" s="28" t="str">
        <f>IFERROR(__xludf.DUMMYFUNCTION("""COMPUTED_VALUE"""),"9788595390072")</f>
        <v>9788595390072</v>
      </c>
      <c r="H60" s="29" t="str">
        <f>IFERROR(__xludf.DUMMYFUNCTION("""COMPUTED_VALUE"""),"http://www.uvanet.br/edicoes_uva/gera_xml.php?arquivo=anostalgia_apitos")</f>
        <v>http://www.uvanet.br/edicoes_uva/gera_xml.php?arquivo=anostalgia_apitos</v>
      </c>
      <c r="I60" s="24" t="str">
        <f>IFERROR(__xludf.DUMMYFUNCTION("""COMPUTED_VALUE"""),"Ciências Humanas")</f>
        <v>Ciências Humanas</v>
      </c>
    </row>
    <row r="61">
      <c r="A61" s="24" t="str">
        <f>IFERROR(__xludf.DUMMYFUNCTION("""COMPUTED_VALUE"""),"A partilha dos royalties petrolíferos do pré-sal no federalismo brasileiro: análise em torno do novo regime distributivo estabelecido pela Lei 12.734/2012")</f>
        <v>A partilha dos royalties petrolíferos do pré-sal no federalismo brasileiro: análise em torno do novo regime distributivo estabelecido pela Lei 12.734/2012</v>
      </c>
      <c r="B61" s="24" t="str">
        <f>IFERROR(__xludf.DUMMYFUNCTION("""COMPUTED_VALUE"""),"Iaci Pelaes dos Reis")</f>
        <v>Iaci Pelaes dos Reis</v>
      </c>
      <c r="C61" s="24" t="str">
        <f>IFERROR(__xludf.DUMMYFUNCTION("""COMPUTED_VALUE"""),"Macapá")</f>
        <v>Macapá</v>
      </c>
      <c r="D61" s="24" t="str">
        <f>IFERROR(__xludf.DUMMYFUNCTION("""COMPUTED_VALUE"""),"UNIFAP")</f>
        <v>UNIFAP</v>
      </c>
      <c r="E61" s="25">
        <f>IFERROR(__xludf.DUMMYFUNCTION("""COMPUTED_VALUE"""),2017.0)</f>
        <v>2017</v>
      </c>
      <c r="F61" s="24" t="str">
        <f>IFERROR(__xludf.DUMMYFUNCTION("""COMPUTED_VALUE"""),"Roylaties; Pré-Sal; Lei 12;734/2012")</f>
        <v>Roylaties; Pré-Sal; Lei 12;734/2012</v>
      </c>
      <c r="G61" s="28" t="str">
        <f>IFERROR(__xludf.DUMMYFUNCTION("""COMPUTED_VALUE"""),"9788562359972")</f>
        <v>9788562359972</v>
      </c>
      <c r="H61" s="29" t="str">
        <f>IFERROR(__xludf.DUMMYFUNCTION("""COMPUTED_VALUE"""),"https://www2.unifap.br/editora/files/2014/12/Livro-A-partilha-dos-royalties-petrol%c3%adferos-do-pr%c3%a9-sal-no-federalismo-brasileiro.pdf")</f>
        <v>https://www2.unifap.br/editora/files/2014/12/Livro-A-partilha-dos-royalties-petrol%c3%adferos-do-pr%c3%a9-sal-no-federalismo-brasileiro.pdf</v>
      </c>
      <c r="I61" s="24" t="str">
        <f>IFERROR(__xludf.DUMMYFUNCTION("""COMPUTED_VALUE"""),"Ciências Humanas")</f>
        <v>Ciências Humanas</v>
      </c>
    </row>
    <row r="62">
      <c r="A62" s="24" t="str">
        <f>IFERROR(__xludf.DUMMYFUNCTION("""COMPUTED_VALUE"""),"A pesquisa sobre professores(as) no Centro-Oeste: dimensões teóricas e metodológicas")</f>
        <v>A pesquisa sobre professores(as) no Centro-Oeste: dimensões teóricas e metodológicas</v>
      </c>
      <c r="B62" s="24" t="str">
        <f>IFERROR(__xludf.DUMMYFUNCTION("""COMPUTED_VALUE"""),"Organização: Ruth Catarina Cerqueira Ribeiro de Souza; Solange Martins de Oliveira Magalhães; Vanderleida Rosa de Freitas e Queiroz. ")</f>
        <v>Organização: Ruth Catarina Cerqueira Ribeiro de Souza; Solange Martins de Oliveira Magalhães; Vanderleida Rosa de Freitas e Queiroz. </v>
      </c>
      <c r="C62" s="24" t="str">
        <f>IFERROR(__xludf.DUMMYFUNCTION("""COMPUTED_VALUE"""),"Goiânia, GO")</f>
        <v>Goiânia, GO</v>
      </c>
      <c r="D62" s="24" t="str">
        <f>IFERROR(__xludf.DUMMYFUNCTION("""COMPUTED_VALUE"""),"Editora IFG")</f>
        <v>Editora IFG</v>
      </c>
      <c r="E62" s="25">
        <f>IFERROR(__xludf.DUMMYFUNCTION("""COMPUTED_VALUE"""),2017.0)</f>
        <v>2017</v>
      </c>
      <c r="F62" s="24" t="str">
        <f>IFERROR(__xludf.DUMMYFUNCTION("""COMPUTED_VALUE"""),"Rede de Pesquisadores sobre Professores(as) do Centro-Oeste; Professores; Pesquisa; Método; Análise")</f>
        <v>Rede de Pesquisadores sobre Professores(as) do Centro-Oeste; Professores; Pesquisa; Método; Análise</v>
      </c>
      <c r="G62" s="28" t="str">
        <f>IFERROR(__xludf.DUMMYFUNCTION("""COMPUTED_VALUE"""),"9788567022260")</f>
        <v>9788567022260</v>
      </c>
      <c r="H62" s="29" t="str">
        <f>IFERROR(__xludf.DUMMYFUNCTION("""COMPUTED_VALUE"""),"https://editora.ifg.edu.br/editoraifg/catalog/view/23/19/66-5")</f>
        <v>https://editora.ifg.edu.br/editoraifg/catalog/view/23/19/66-5</v>
      </c>
      <c r="I62" s="24" t="str">
        <f>IFERROR(__xludf.DUMMYFUNCTION("""COMPUTED_VALUE"""),"Ciências Humanas")</f>
        <v>Ciências Humanas</v>
      </c>
    </row>
    <row r="63">
      <c r="A63" s="24" t="str">
        <f>IFERROR(__xludf.DUMMYFUNCTION("""COMPUTED_VALUE"""),"A política no corpo: gêneros e sexualidades em disputa")</f>
        <v>A política no corpo: gêneros e sexualidades em disputa</v>
      </c>
      <c r="B63" s="24" t="str">
        <f>IFERROR(__xludf.DUMMYFUNCTION("""COMPUTED_VALUE"""),"Alexsandro Rodrigues, Gustavo Monzeli, Sérgio Rodrigo da Silva Ferreira, organizadores.; ")</f>
        <v>Alexsandro Rodrigues, Gustavo Monzeli, Sérgio Rodrigo da Silva Ferreira, organizadores.; </v>
      </c>
      <c r="C63" s="24" t="str">
        <f>IFERROR(__xludf.DUMMYFUNCTION("""COMPUTED_VALUE"""),"Vitória")</f>
        <v>Vitória</v>
      </c>
      <c r="D63" s="24" t="str">
        <f>IFERROR(__xludf.DUMMYFUNCTION("""COMPUTED_VALUE"""),"EDUFES")</f>
        <v>EDUFES</v>
      </c>
      <c r="E63" s="25">
        <f>IFERROR(__xludf.DUMMYFUNCTION("""COMPUTED_VALUE"""),2016.0)</f>
        <v>2016</v>
      </c>
      <c r="F63" s="24" t="str">
        <f>IFERROR(__xludf.DUMMYFUNCTION("""COMPUTED_VALUE"""),"Identidade de gênero; Minorias sexuais; Violência contra a mulher")</f>
        <v>Identidade de gênero; Minorias sexuais; Violência contra a mulher</v>
      </c>
      <c r="G63" s="28" t="str">
        <f>IFERROR(__xludf.DUMMYFUNCTION("""COMPUTED_VALUE"""),"9788577723324")</f>
        <v>9788577723324</v>
      </c>
      <c r="H63" s="29" t="str">
        <f>IFERROR(__xludf.DUMMYFUNCTION("""COMPUTED_VALUE"""),"http://repositorio.ufes.br/handle/10/5579")</f>
        <v>http://repositorio.ufes.br/handle/10/5579</v>
      </c>
      <c r="I63" s="24" t="str">
        <f>IFERROR(__xludf.DUMMYFUNCTION("""COMPUTED_VALUE"""),"Ciências Humanas")</f>
        <v>Ciências Humanas</v>
      </c>
    </row>
    <row r="64">
      <c r="A64" s="24" t="str">
        <f>IFERROR(__xludf.DUMMYFUNCTION("""COMPUTED_VALUE"""),"A predação do social ")</f>
        <v>A predação do social </v>
      </c>
      <c r="B64" s="24" t="str">
        <f>IFERROR(__xludf.DUMMYFUNCTION("""COMPUTED_VALUE"""),"Ari de Abreu Silva")</f>
        <v>Ari de Abreu Silva</v>
      </c>
      <c r="C64" s="24" t="str">
        <f>IFERROR(__xludf.DUMMYFUNCTION("""COMPUTED_VALUE"""),"Niterói, RJ")</f>
        <v>Niterói, RJ</v>
      </c>
      <c r="D64" s="24" t="str">
        <f>IFERROR(__xludf.DUMMYFUNCTION("""COMPUTED_VALUE"""),"EDUFF")</f>
        <v>EDUFF</v>
      </c>
      <c r="E64" s="25">
        <f>IFERROR(__xludf.DUMMYFUNCTION("""COMPUTED_VALUE"""),1997.0)</f>
        <v>1997</v>
      </c>
      <c r="F64" s="24" t="str">
        <f>IFERROR(__xludf.DUMMYFUNCTION("""COMPUTED_VALUE"""),"Ciência Política")</f>
        <v>Ciência Política</v>
      </c>
      <c r="G64" s="28" t="str">
        <f>IFERROR(__xludf.DUMMYFUNCTION("""COMPUTED_VALUE"""),"8522802092")</f>
        <v>8522802092</v>
      </c>
      <c r="H64" s="29" t="str">
        <f>IFERROR(__xludf.DUMMYFUNCTION("""COMPUTED_VALUE"""),"http://www.eduff.uff.br/ebooks/A-predacao-do-social.pdf")</f>
        <v>http://www.eduff.uff.br/ebooks/A-predacao-do-social.pdf</v>
      </c>
      <c r="I64" s="24" t="str">
        <f>IFERROR(__xludf.DUMMYFUNCTION("""COMPUTED_VALUE"""),"Ciências Humanas")</f>
        <v>Ciências Humanas</v>
      </c>
    </row>
    <row r="65">
      <c r="A65" s="24" t="str">
        <f>IFERROR(__xludf.DUMMYFUNCTION("""COMPUTED_VALUE"""),"A qualidade de vida no Estado do Rio de Janeiro ")</f>
        <v>A qualidade de vida no Estado do Rio de Janeiro </v>
      </c>
      <c r="B65" s="24" t="str">
        <f>IFERROR(__xludf.DUMMYFUNCTION("""COMPUTED_VALUE"""),"Alberto Carlos Almeida")</f>
        <v>Alberto Carlos Almeida</v>
      </c>
      <c r="C65" s="24" t="str">
        <f>IFERROR(__xludf.DUMMYFUNCTION("""COMPUTED_VALUE"""),"Niterói, RJ")</f>
        <v>Niterói, RJ</v>
      </c>
      <c r="D65" s="24" t="str">
        <f>IFERROR(__xludf.DUMMYFUNCTION("""COMPUTED_VALUE"""),"EDUFF")</f>
        <v>EDUFF</v>
      </c>
      <c r="E65" s="25">
        <f>IFERROR(__xludf.DUMMYFUNCTION("""COMPUTED_VALUE"""),1997.0)</f>
        <v>1997</v>
      </c>
      <c r="F65" s="24" t="str">
        <f>IFERROR(__xludf.DUMMYFUNCTION("""COMPUTED_VALUE"""),"Meio ambiente")</f>
        <v>Meio ambiente</v>
      </c>
      <c r="G65" s="28" t="str">
        <f>IFERROR(__xludf.DUMMYFUNCTION("""COMPUTED_VALUE"""),"8522802351")</f>
        <v>8522802351</v>
      </c>
      <c r="H65" s="29" t="str">
        <f>IFERROR(__xludf.DUMMYFUNCTION("""COMPUTED_VALUE"""),"http://www.eduff.uff.br/ebooks/A-qualidade-de-vida-no-Estado-do-Rio-de-Janeiro.pdf")</f>
        <v>http://www.eduff.uff.br/ebooks/A-qualidade-de-vida-no-Estado-do-Rio-de-Janeiro.pdf</v>
      </c>
      <c r="I65" s="24" t="str">
        <f>IFERROR(__xludf.DUMMYFUNCTION("""COMPUTED_VALUE"""),"Ciências Humanas")</f>
        <v>Ciências Humanas</v>
      </c>
    </row>
    <row r="66">
      <c r="A66" s="24" t="str">
        <f>IFERROR(__xludf.DUMMYFUNCTION("""COMPUTED_VALUE"""),"A questão social e as políticas sociais no contexto latino-americano")</f>
        <v>A questão social e as políticas sociais no contexto latino-americano</v>
      </c>
      <c r="B66" s="24" t="str">
        <f>IFERROR(__xludf.DUMMYFUNCTION("""COMPUTED_VALUE"""),"Maria Lúcia Teixeira Garcia, Eugênia Célia Raizer (org.)")</f>
        <v>Maria Lúcia Teixeira Garcia, Eugênia Célia Raizer (org.)</v>
      </c>
      <c r="C66" s="24" t="str">
        <f>IFERROR(__xludf.DUMMYFUNCTION("""COMPUTED_VALUE"""),"Vitória")</f>
        <v>Vitória</v>
      </c>
      <c r="D66" s="24" t="str">
        <f>IFERROR(__xludf.DUMMYFUNCTION("""COMPUTED_VALUE"""),"EDUFES")</f>
        <v>EDUFES</v>
      </c>
      <c r="E66" s="25">
        <f>IFERROR(__xludf.DUMMYFUNCTION("""COMPUTED_VALUE"""),2013.0)</f>
        <v>2013</v>
      </c>
      <c r="F66" s="24" t="str">
        <f>IFERROR(__xludf.DUMMYFUNCTION("""COMPUTED_VALUE"""),"Igualdade; América Latina; Política social")</f>
        <v>Igualdade; América Latina; Política social</v>
      </c>
      <c r="G66" s="28" t="str">
        <f>IFERROR(__xludf.DUMMYFUNCTION("""COMPUTED_VALUE"""),"9788577721702")</f>
        <v>9788577721702</v>
      </c>
      <c r="H66" s="29" t="str">
        <f>IFERROR(__xludf.DUMMYFUNCTION("""COMPUTED_VALUE"""),"http://repositorio.ufes.br/bitstream/10/825/1/livro%20edufes%20A%20quest%C3%A3o%20social%20e%20as%20pol%C3%ADticas%20sociais%20no%20contexto%20latino-americano.pdf")</f>
        <v>http://repositorio.ufes.br/bitstream/10/825/1/livro%20edufes%20A%20quest%C3%A3o%20social%20e%20as%20pol%C3%ADticas%20sociais%20no%20contexto%20latino-americano.pdf</v>
      </c>
      <c r="I66" s="24" t="str">
        <f>IFERROR(__xludf.DUMMYFUNCTION("""COMPUTED_VALUE"""),"Ciências Humanas")</f>
        <v>Ciências Humanas</v>
      </c>
    </row>
    <row r="67">
      <c r="A67" s="24" t="str">
        <f>IFERROR(__xludf.DUMMYFUNCTION("""COMPUTED_VALUE"""),"A quimera democrática na América Latina: o Brasil sob o império")</f>
        <v>A quimera democrática na América Latina: o Brasil sob o império</v>
      </c>
      <c r="B67" s="24" t="str">
        <f>IFERROR(__xludf.DUMMYFUNCTION("""COMPUTED_VALUE"""),"Guillermo Johnson ")</f>
        <v>Guillermo Johnson </v>
      </c>
      <c r="C67" s="24" t="str">
        <f>IFERROR(__xludf.DUMMYFUNCTION("""COMPUTED_VALUE"""),"Dourados, MS")</f>
        <v>Dourados, MS</v>
      </c>
      <c r="D67" s="24" t="str">
        <f>IFERROR(__xludf.DUMMYFUNCTION("""COMPUTED_VALUE"""),"Ed. UFGD")</f>
        <v>Ed. UFGD</v>
      </c>
      <c r="E67" s="25">
        <f>IFERROR(__xludf.DUMMYFUNCTION("""COMPUTED_VALUE"""),2013.0)</f>
        <v>2013</v>
      </c>
      <c r="F67" s="24" t="str">
        <f>IFERROR(__xludf.DUMMYFUNCTION("""COMPUTED_VALUE"""),"Imperialismo – América Latina; Política econômica; Colonialismo")</f>
        <v>Imperialismo – América Latina; Política econômica; Colonialismo</v>
      </c>
      <c r="G67" s="28" t="str">
        <f>IFERROR(__xludf.DUMMYFUNCTION("""COMPUTED_VALUE"""),"9788581470429")</f>
        <v>9788581470429</v>
      </c>
      <c r="H67" s="29" t="str">
        <f>IFERROR(__xludf.DUMMYFUNCTION("""COMPUTED_VALUE"""),"http://omp.ufgd.edu.br/omp/index.php/livrosabertos/catalog/view/28/41/112-1")</f>
        <v>http://omp.ufgd.edu.br/omp/index.php/livrosabertos/catalog/view/28/41/112-1</v>
      </c>
      <c r="I67" s="24" t="str">
        <f>IFERROR(__xludf.DUMMYFUNCTION("""COMPUTED_VALUE"""),"Ciências Humanas")</f>
        <v>Ciências Humanas</v>
      </c>
    </row>
    <row r="68">
      <c r="A68" s="24" t="str">
        <f>IFERROR(__xludf.DUMMYFUNCTION("""COMPUTED_VALUE"""),"A razão nômade: Walter Benjamin e outros viajantes")</f>
        <v>A razão nômade: Walter Benjamin e outros viajantes</v>
      </c>
      <c r="B68" s="24" t="str">
        <f>IFERROR(__xludf.DUMMYFUNCTION("""COMPUTED_VALUE"""),"Sério Paulo Rouanet")</f>
        <v>Sério Paulo Rouanet</v>
      </c>
      <c r="C68" s="24" t="str">
        <f>IFERROR(__xludf.DUMMYFUNCTION("""COMPUTED_VALUE"""),"Rio de Janeiro")</f>
        <v>Rio de Janeiro</v>
      </c>
      <c r="D68" s="24" t="str">
        <f>IFERROR(__xludf.DUMMYFUNCTION("""COMPUTED_VALUE"""),"Editora UFRJ")</f>
        <v>Editora UFRJ</v>
      </c>
      <c r="E68" s="25">
        <f>IFERROR(__xludf.DUMMYFUNCTION("""COMPUTED_VALUE"""),1993.0)</f>
        <v>1993</v>
      </c>
      <c r="F68" s="24" t="str">
        <f>IFERROR(__xludf.DUMMYFUNCTION("""COMPUTED_VALUE"""),"Antropologia filosófica; Antropologia; Filosofia")</f>
        <v>Antropologia filosófica; Antropologia; Filosofia</v>
      </c>
      <c r="G68" s="28" t="str">
        <f>IFERROR(__xludf.DUMMYFUNCTION("""COMPUTED_VALUE"""),"857108095X ")</f>
        <v>857108095X </v>
      </c>
      <c r="H68" s="29" t="str">
        <f>IFERROR(__xludf.DUMMYFUNCTION("""COMPUTED_VALUE"""),"http://www.editora.ufrj.br/DynamicItems/livrosabertos-1/a-UNE-em-tempos-de-autoritarismo.pdf")</f>
        <v>http://www.editora.ufrj.br/DynamicItems/livrosabertos-1/a-UNE-em-tempos-de-autoritarismo.pdf</v>
      </c>
      <c r="I68" s="24" t="str">
        <f>IFERROR(__xludf.DUMMYFUNCTION("""COMPUTED_VALUE"""),"Ciências Humanas")</f>
        <v>Ciências Humanas</v>
      </c>
    </row>
    <row r="69">
      <c r="A69" s="24" t="str">
        <f>IFERROR(__xludf.DUMMYFUNCTION("""COMPUTED_VALUE"""),"A Real Fazenda de Minas Gerais: guia de pesquisa da Coleção Casa dos Contos de Ouro Preto (Instrumento de Pesquisa, Vol 2)")</f>
        <v>A Real Fazenda de Minas Gerais: guia de pesquisa da Coleção Casa dos Contos de Ouro Preto (Instrumento de Pesquisa, Vol 2)</v>
      </c>
      <c r="B69" s="24" t="str">
        <f>IFERROR(__xludf.DUMMYFUNCTION("""COMPUTED_VALUE"""),"Ângelo Alves Carrara; ")</f>
        <v>Ângelo Alves Carrara; </v>
      </c>
      <c r="C69" s="24" t="str">
        <f>IFERROR(__xludf.DUMMYFUNCTION("""COMPUTED_VALUE"""),"Ouro Preto")</f>
        <v>Ouro Preto</v>
      </c>
      <c r="D69" s="24" t="str">
        <f>IFERROR(__xludf.DUMMYFUNCTION("""COMPUTED_VALUE"""),"UFOP")</f>
        <v>UFOP</v>
      </c>
      <c r="E69" s="25">
        <f>IFERROR(__xludf.DUMMYFUNCTION("""COMPUTED_VALUE"""),2005.0)</f>
        <v>2005</v>
      </c>
      <c r="F69" s="24" t="str">
        <f>IFERROR(__xludf.DUMMYFUNCTION("""COMPUTED_VALUE"""),"Arquivos – Guias – Minas Gerais")</f>
        <v>Arquivos – Guias – Minas Gerais</v>
      </c>
      <c r="G69" s="26"/>
      <c r="H69" s="29" t="str">
        <f>IFERROR(__xludf.DUMMYFUNCTION("""COMPUTED_VALUE"""),"https://www.editora.ufop.br/index.php/editora/catalog/view/34/22/78-1")</f>
        <v>https://www.editora.ufop.br/index.php/editora/catalog/view/34/22/78-1</v>
      </c>
      <c r="I69" s="24" t="str">
        <f>IFERROR(__xludf.DUMMYFUNCTION("""COMPUTED_VALUE"""),"Ciências Humanas")</f>
        <v>Ciências Humanas</v>
      </c>
    </row>
    <row r="70">
      <c r="A70" s="24" t="str">
        <f>IFERROR(__xludf.DUMMYFUNCTION("""COMPUTED_VALUE"""),"A Rede Federal de Educação Profissional, Científica e Tecnológica e o IFG no tempo: conduzindo uma recuperação histórica até os anos 1990")</f>
        <v>A Rede Federal de Educação Profissional, Científica e Tecnológica e o IFG no tempo: conduzindo uma recuperação histórica até os anos 1990</v>
      </c>
      <c r="B70" s="24" t="str">
        <f>IFERROR(__xludf.DUMMYFUNCTION("""COMPUTED_VALUE"""),"Organização: Walmir Barbosa, Murilo Ferreira Paranhos, Sônia Aparecida Lôbo.")</f>
        <v>Organização: Walmir Barbosa, Murilo Ferreira Paranhos, Sônia Aparecida Lôbo.</v>
      </c>
      <c r="C70" s="24" t="str">
        <f>IFERROR(__xludf.DUMMYFUNCTION("""COMPUTED_VALUE"""),"Goiânia, GO")</f>
        <v>Goiânia, GO</v>
      </c>
      <c r="D70" s="24" t="str">
        <f>IFERROR(__xludf.DUMMYFUNCTION("""COMPUTED_VALUE"""),"Editora IFG")</f>
        <v>Editora IFG</v>
      </c>
      <c r="E70" s="25">
        <f>IFERROR(__xludf.DUMMYFUNCTION("""COMPUTED_VALUE"""),2015.0)</f>
        <v>2015</v>
      </c>
      <c r="F70" s="24" t="str">
        <f>IFERROR(__xludf.DUMMYFUNCTION("""COMPUTED_VALUE"""),"Educação profissional – história; Escola técnicafederal – reconfiguração institucional")</f>
        <v>Educação profissional – história; Escola técnicafederal – reconfiguração institucional</v>
      </c>
      <c r="G70" s="28" t="str">
        <f>IFERROR(__xludf.DUMMYFUNCTION("""COMPUTED_VALUE"""),"9788567022048")</f>
        <v>9788567022048</v>
      </c>
      <c r="H70" s="29" t="str">
        <f>IFERROR(__xludf.DUMMYFUNCTION("""COMPUTED_VALUE"""),"https://editora.ifg.edu.br/editoraifg/catalog/view/11/10/32-2")</f>
        <v>https://editora.ifg.edu.br/editoraifg/catalog/view/11/10/32-2</v>
      </c>
      <c r="I70" s="24" t="str">
        <f>IFERROR(__xludf.DUMMYFUNCTION("""COMPUTED_VALUE"""),"Ciências Humanas")</f>
        <v>Ciências Humanas</v>
      </c>
    </row>
    <row r="71">
      <c r="A71" s="24" t="str">
        <f>IFERROR(__xludf.DUMMYFUNCTION("""COMPUTED_VALUE"""),"A Rede Federal e o IFG em perspectiva: desafios institucionais e cenários futuros")</f>
        <v>A Rede Federal e o IFG em perspectiva: desafios institucionais e cenários futuros</v>
      </c>
      <c r="B71" s="24" t="str">
        <f>IFERROR(__xludf.DUMMYFUNCTION("""COMPUTED_VALUE"""),"Organização: Walmir Barbosa, Ruberley Rodrigues de Souza, Mara Rúbia de Souza Rodrigues Morais. ")</f>
        <v>Organização: Walmir Barbosa, Ruberley Rodrigues de Souza, Mara Rúbia de Souza Rodrigues Morais. </v>
      </c>
      <c r="C71" s="24" t="str">
        <f>IFERROR(__xludf.DUMMYFUNCTION("""COMPUTED_VALUE"""),"Goiânia, GO")</f>
        <v>Goiânia, GO</v>
      </c>
      <c r="D71" s="24" t="str">
        <f>IFERROR(__xludf.DUMMYFUNCTION("""COMPUTED_VALUE"""),"Editora IFG")</f>
        <v>Editora IFG</v>
      </c>
      <c r="E71" s="25">
        <f>IFERROR(__xludf.DUMMYFUNCTION("""COMPUTED_VALUE"""),2016.0)</f>
        <v>2016</v>
      </c>
      <c r="F71" s="24" t="str">
        <f>IFERROR(__xludf.DUMMYFUNCTION("""COMPUTED_VALUE"""),"Educação; Educação profissional; Institutos federais – perspectivas")</f>
        <v>Educação; Educação profissional; Institutos federais – perspectivas</v>
      </c>
      <c r="G71" s="28" t="str">
        <f>IFERROR(__xludf.DUMMYFUNCTION("""COMPUTED_VALUE"""),"9788567022048")</f>
        <v>9788567022048</v>
      </c>
      <c r="H71" s="29" t="str">
        <f>IFERROR(__xludf.DUMMYFUNCTION("""COMPUTED_VALUE"""),"https://editora.ifg.edu.br/editoraifg/catalog/view/13/12/34-2")</f>
        <v>https://editora.ifg.edu.br/editoraifg/catalog/view/13/12/34-2</v>
      </c>
      <c r="I71" s="24" t="str">
        <f>IFERROR(__xludf.DUMMYFUNCTION("""COMPUTED_VALUE"""),"Ciências Humanas")</f>
        <v>Ciências Humanas</v>
      </c>
    </row>
    <row r="72">
      <c r="A72" s="24" t="str">
        <f>IFERROR(__xludf.DUMMYFUNCTION("""COMPUTED_VALUE"""),"A região cacaueira da Bahia – dos coronéis à vassoura-de-bruxa: saga, percepção, representação")</f>
        <v>A região cacaueira da Bahia – dos coronéis à vassoura-de-bruxa: saga, percepção, representação</v>
      </c>
      <c r="B72" s="24" t="str">
        <f>IFERROR(__xludf.DUMMYFUNCTION("""COMPUTED_VALUE"""),"Lurdes Bertol Rocha")</f>
        <v>Lurdes Bertol Rocha</v>
      </c>
      <c r="C72" s="24" t="str">
        <f>IFERROR(__xludf.DUMMYFUNCTION("""COMPUTED_VALUE"""),"Ilhéus, BA")</f>
        <v>Ilhéus, BA</v>
      </c>
      <c r="D72" s="24" t="str">
        <f>IFERROR(__xludf.DUMMYFUNCTION("""COMPUTED_VALUE"""),"Editus")</f>
        <v>Editus</v>
      </c>
      <c r="E72" s="25">
        <f>IFERROR(__xludf.DUMMYFUNCTION("""COMPUTED_VALUE"""),2008.0)</f>
        <v>2008</v>
      </c>
      <c r="F72" s="24" t="str">
        <f>IFERROR(__xludf.DUMMYFUNCTION("""COMPUTED_VALUE"""),"Bahia – História – Região Cacaueira (BA); Cacau- Doenças e; pragas – Bahia; Cacau – História – Bahia; Vassoura-de-bruxa –; Bahia; Economia – Região Cacaueira (BA)")</f>
        <v>Bahia – História – Região Cacaueira (BA); Cacau- Doenças e; pragas – Bahia; Cacau – História – Bahia; Vassoura-de-bruxa –; Bahia; Economia – Região Cacaueira (BA)</v>
      </c>
      <c r="G72" s="28" t="str">
        <f>IFERROR(__xludf.DUMMYFUNCTION("""COMPUTED_VALUE"""),"9788574551470")</f>
        <v>9788574551470</v>
      </c>
      <c r="H72" s="29" t="str">
        <f>IFERROR(__xludf.DUMMYFUNCTION("""COMPUTED_VALUE"""),"http://www.uesc.br/editora/livrosdigitais/a_regiao_cacaueira_da_bahia.pdf")</f>
        <v>http://www.uesc.br/editora/livrosdigitais/a_regiao_cacaueira_da_bahia.pdf</v>
      </c>
      <c r="I72" s="24" t="str">
        <f>IFERROR(__xludf.DUMMYFUNCTION("""COMPUTED_VALUE"""),"Ciências Humanas")</f>
        <v>Ciências Humanas</v>
      </c>
    </row>
    <row r="73">
      <c r="A73" s="24" t="str">
        <f>IFERROR(__xludf.DUMMYFUNCTION("""COMPUTED_VALUE"""),"A religião como recurso motivacional moral em Habermas ")</f>
        <v>A religião como recurso motivacional moral em Habermas </v>
      </c>
      <c r="B73" s="24" t="str">
        <f>IFERROR(__xludf.DUMMYFUNCTION("""COMPUTED_VALUE"""),"Danniel Rodrigues Oliveira")</f>
        <v>Danniel Rodrigues Oliveira</v>
      </c>
      <c r="C73" s="24" t="str">
        <f>IFERROR(__xludf.DUMMYFUNCTION("""COMPUTED_VALUE"""),"Teresina")</f>
        <v>Teresina</v>
      </c>
      <c r="D73" s="24" t="str">
        <f>IFERROR(__xludf.DUMMYFUNCTION("""COMPUTED_VALUE"""),"Editora da UFPI")</f>
        <v>Editora da UFPI</v>
      </c>
      <c r="E73" s="25">
        <f>IFERROR(__xludf.DUMMYFUNCTION("""COMPUTED_VALUE"""),2020.0)</f>
        <v>2020</v>
      </c>
      <c r="F73" s="24" t="str">
        <f>IFERROR(__xludf.DUMMYFUNCTION("""COMPUTED_VALUE"""),"Religião; Moral; Filosofia")</f>
        <v>Religião; Moral; Filosofia</v>
      </c>
      <c r="G73" s="28" t="str">
        <f>IFERROR(__xludf.DUMMYFUNCTION("""COMPUTED_VALUE"""),"9786586171303")</f>
        <v>9786586171303</v>
      </c>
      <c r="H73" s="29" t="str">
        <f>IFERROR(__xludf.DUMMYFUNCTION("""COMPUTED_VALUE"""),"https://www.ufpi.br/arquivos_download/arquivos/LIVRO_A_RELIGIAO20200806142605.pdf")</f>
        <v>https://www.ufpi.br/arquivos_download/arquivos/LIVRO_A_RELIGIAO20200806142605.pdf</v>
      </c>
      <c r="I73" s="24" t="str">
        <f>IFERROR(__xludf.DUMMYFUNCTION("""COMPUTED_VALUE"""),"Ciências Humanas")</f>
        <v>Ciências Humanas</v>
      </c>
    </row>
    <row r="74">
      <c r="A74" s="24" t="str">
        <f>IFERROR(__xludf.DUMMYFUNCTION("""COMPUTED_VALUE"""),"A reorientação curricular na Rede Municipal de Ensino de Dourados: 2001 a 2008")</f>
        <v>A reorientação curricular na Rede Municipal de Ensino de Dourados: 2001 a 2008</v>
      </c>
      <c r="B74" s="24" t="str">
        <f>IFERROR(__xludf.DUMMYFUNCTION("""COMPUTED_VALUE"""),"Eliane Souza de Carvalho")</f>
        <v>Eliane Souza de Carvalho</v>
      </c>
      <c r="C74" s="24" t="str">
        <f>IFERROR(__xludf.DUMMYFUNCTION("""COMPUTED_VALUE"""),"Dourados, MS")</f>
        <v>Dourados, MS</v>
      </c>
      <c r="D74" s="24" t="str">
        <f>IFERROR(__xludf.DUMMYFUNCTION("""COMPUTED_VALUE"""),"Editora UEMS")</f>
        <v>Editora UEMS</v>
      </c>
      <c r="E74" s="25">
        <f>IFERROR(__xludf.DUMMYFUNCTION("""COMPUTED_VALUE"""),2016.0)</f>
        <v>2016</v>
      </c>
      <c r="F74" s="24" t="str">
        <f>IFERROR(__xludf.DUMMYFUNCTION("""COMPUTED_VALUE"""),"Educação - currículo; Educação - Dourados (MS); Educação - ensino fundamental")</f>
        <v>Educação - currículo; Educação - Dourados (MS); Educação - ensino fundamental</v>
      </c>
      <c r="G74" s="28" t="str">
        <f>IFERROR(__xludf.DUMMYFUNCTION("""COMPUTED_VALUE"""),"9788592863043")</f>
        <v>9788592863043</v>
      </c>
      <c r="H74" s="29" t="str">
        <f>IFERROR(__xludf.DUMMYFUNCTION("""COMPUTED_VALUE"""),"http://www.uems.br/assets/uploads/editora/arquivos/1_2016-11-04_13-50-24.pdf")</f>
        <v>http://www.uems.br/assets/uploads/editora/arquivos/1_2016-11-04_13-50-24.pdf</v>
      </c>
      <c r="I74" s="24" t="str">
        <f>IFERROR(__xludf.DUMMYFUNCTION("""COMPUTED_VALUE"""),"Ciências Humanas")</f>
        <v>Ciências Humanas</v>
      </c>
    </row>
    <row r="75">
      <c r="A75" s="24" t="str">
        <f>IFERROR(__xludf.DUMMYFUNCTION("""COMPUTED_VALUE"""),"A República no Brasil: trajetórias de vida entre a democracia e a ditadura")</f>
        <v>A República no Brasil: trajetórias de vida entre a democracia e a ditadura</v>
      </c>
      <c r="B75" s="24" t="str">
        <f>IFERROR(__xludf.DUMMYFUNCTION("""COMPUTED_VALUE"""),"Jorge Ferreira; Karla Carloni (org.)")</f>
        <v>Jorge Ferreira; Karla Carloni (org.)</v>
      </c>
      <c r="C75" s="24" t="str">
        <f>IFERROR(__xludf.DUMMYFUNCTION("""COMPUTED_VALUE"""),"Niterói, RJ")</f>
        <v>Niterói, RJ</v>
      </c>
      <c r="D75" s="24" t="str">
        <f>IFERROR(__xludf.DUMMYFUNCTION("""COMPUTED_VALUE"""),"EdUFF")</f>
        <v>EdUFF</v>
      </c>
      <c r="E75" s="25">
        <f>IFERROR(__xludf.DUMMYFUNCTION("""COMPUTED_VALUE"""),2019.0)</f>
        <v>2019</v>
      </c>
      <c r="F75" s="24" t="str">
        <f>IFERROR(__xludf.DUMMYFUNCTION("""COMPUTED_VALUE"""),"República - Brasil; Ditadura - Brasil; Democracia - Brasil")</f>
        <v>República - Brasil; Ditadura - Brasil; Democracia - Brasil</v>
      </c>
      <c r="G75" s="28" t="str">
        <f>IFERROR(__xludf.DUMMYFUNCTION("""COMPUTED_VALUE"""),"978852281575")</f>
        <v>978852281575</v>
      </c>
      <c r="H75" s="29" t="str">
        <f>IFERROR(__xludf.DUMMYFUNCTION("""COMPUTED_VALUE"""),"https://drive.google.com/file/d/1RNMxfIXigmaN8M6rf4_6ILTtv3BqDzuV/view")</f>
        <v>https://drive.google.com/file/d/1RNMxfIXigmaN8M6rf4_6ILTtv3BqDzuV/view</v>
      </c>
      <c r="I75" s="24" t="str">
        <f>IFERROR(__xludf.DUMMYFUNCTION("""COMPUTED_VALUE"""),"Ciências Humanas")</f>
        <v>Ciências Humanas</v>
      </c>
    </row>
    <row r="76">
      <c r="A76" s="24" t="str">
        <f>IFERROR(__xludf.DUMMYFUNCTION("""COMPUTED_VALUE"""),"A Reserva Indígena Kadiwéu (1899-1984): memória, identidade e história. ")</f>
        <v>A Reserva Indígena Kadiwéu (1899-1984): memória, identidade e história. </v>
      </c>
      <c r="B76" s="24" t="str">
        <f>IFERROR(__xludf.DUMMYFUNCTION("""COMPUTED_VALUE"""),"Giovani José da Silva")</f>
        <v>Giovani José da Silva</v>
      </c>
      <c r="C76" s="24" t="str">
        <f>IFERROR(__xludf.DUMMYFUNCTION("""COMPUTED_VALUE"""),"Dourados, MS")</f>
        <v>Dourados, MS</v>
      </c>
      <c r="D76" s="24" t="str">
        <f>IFERROR(__xludf.DUMMYFUNCTION("""COMPUTED_VALUE"""),"Ed. UFGD")</f>
        <v>Ed. UFGD</v>
      </c>
      <c r="E76" s="25">
        <f>IFERROR(__xludf.DUMMYFUNCTION("""COMPUTED_VALUE"""),2014.0)</f>
        <v>2014</v>
      </c>
      <c r="F76" s="24" t="str">
        <f>IFERROR(__xludf.DUMMYFUNCTION("""COMPUTED_VALUE"""),"Índios Kadiwéu – História; Mato Grosso do Sul – Ocupação; Memória")</f>
        <v>Índios Kadiwéu – História; Mato Grosso do Sul – Ocupação; Memória</v>
      </c>
      <c r="G76" s="28" t="str">
        <f>IFERROR(__xludf.DUMMYFUNCTION("""COMPUTED_VALUE"""),"9788581470818")</f>
        <v>9788581470818</v>
      </c>
      <c r="H76" s="29" t="str">
        <f>IFERROR(__xludf.DUMMYFUNCTION("""COMPUTED_VALUE"""),"http://omp.ufgd.edu.br/omp/index.php/livrosabertos/catalog/view/29/40/111-1")</f>
        <v>http://omp.ufgd.edu.br/omp/index.php/livrosabertos/catalog/view/29/40/111-1</v>
      </c>
      <c r="I76" s="24" t="str">
        <f>IFERROR(__xludf.DUMMYFUNCTION("""COMPUTED_VALUE"""),"Ciências Humanas")</f>
        <v>Ciências Humanas</v>
      </c>
    </row>
    <row r="77">
      <c r="A77" s="24" t="str">
        <f>IFERROR(__xludf.DUMMYFUNCTION("""COMPUTED_VALUE"""),"A teia do contar na Nhecolândia: A personagem lendária Mãozão ")</f>
        <v>A teia do contar na Nhecolândia: A personagem lendária Mãozão </v>
      </c>
      <c r="B77" s="24" t="str">
        <f>IFERROR(__xludf.DUMMYFUNCTION("""COMPUTED_VALUE"""),"Áurea Rita de Ávila Lima Ferreir")</f>
        <v>Áurea Rita de Ávila Lima Ferreir</v>
      </c>
      <c r="C77" s="24" t="str">
        <f>IFERROR(__xludf.DUMMYFUNCTION("""COMPUTED_VALUE"""),"Dourados, MS")</f>
        <v>Dourados, MS</v>
      </c>
      <c r="D77" s="24" t="str">
        <f>IFERROR(__xludf.DUMMYFUNCTION("""COMPUTED_VALUE"""),"Ed. UFGD")</f>
        <v>Ed. UFGD</v>
      </c>
      <c r="E77" s="25">
        <f>IFERROR(__xludf.DUMMYFUNCTION("""COMPUTED_VALUE"""),2009.0)</f>
        <v>2009</v>
      </c>
      <c r="F77" s="24" t="str">
        <f>IFERROR(__xludf.DUMMYFUNCTION("""COMPUTED_VALUE"""),"Manifestações culturais populares; Narrativas orais; Mãozão; Curupira")</f>
        <v>Manifestações culturais populares; Narrativas orais; Mãozão; Curupira</v>
      </c>
      <c r="G77" s="28" t="str">
        <f>IFERROR(__xludf.DUMMYFUNCTION("""COMPUTED_VALUE"""),"9788599880173")</f>
        <v>9788599880173</v>
      </c>
      <c r="H77" s="29" t="str">
        <f>IFERROR(__xludf.DUMMYFUNCTION("""COMPUTED_VALUE"""),"http://omp.ufgd.edu.br/omp/index.php/livrosabertos/catalog/view/30/39/109-1")</f>
        <v>http://omp.ufgd.edu.br/omp/index.php/livrosabertos/catalog/view/30/39/109-1</v>
      </c>
      <c r="I77" s="24" t="str">
        <f>IFERROR(__xludf.DUMMYFUNCTION("""COMPUTED_VALUE"""),"Ciências Humanas")</f>
        <v>Ciências Humanas</v>
      </c>
    </row>
    <row r="78">
      <c r="A78" s="24" t="str">
        <f>IFERROR(__xludf.DUMMYFUNCTION("""COMPUTED_VALUE"""),"A terapia de família vai ao Cinema")</f>
        <v>A terapia de família vai ao Cinema</v>
      </c>
      <c r="B78" s="24" t="str">
        <f>IFERROR(__xludf.DUMMYFUNCTION("""COMPUTED_VALUE"""),"Célia Nunes Silva, Sílvia Maria Guerra Anastácio")</f>
        <v>Célia Nunes Silva, Sílvia Maria Guerra Anastácio</v>
      </c>
      <c r="C78" s="24" t="str">
        <f>IFERROR(__xludf.DUMMYFUNCTION("""COMPUTED_VALUE"""),"Salvador")</f>
        <v>Salvador</v>
      </c>
      <c r="D78" s="24" t="str">
        <f>IFERROR(__xludf.DUMMYFUNCTION("""COMPUTED_VALUE"""),"EDUFBA")</f>
        <v>EDUFBA</v>
      </c>
      <c r="E78" s="25">
        <f>IFERROR(__xludf.DUMMYFUNCTION("""COMPUTED_VALUE"""),2015.0)</f>
        <v>2015</v>
      </c>
      <c r="F78" s="24" t="str">
        <f>IFERROR(__xludf.DUMMYFUNCTION("""COMPUTED_VALUE"""),"Terapia sistêmica; Cinema na educação; Cinema; Psicoterapia familiar")</f>
        <v>Terapia sistêmica; Cinema na educação; Cinema; Psicoterapia familiar</v>
      </c>
      <c r="G78" s="28" t="str">
        <f>IFERROR(__xludf.DUMMYFUNCTION("""COMPUTED_VALUE"""),"9788523200000")</f>
        <v>9788523200000</v>
      </c>
      <c r="H78" s="29" t="str">
        <f>IFERROR(__xludf.DUMMYFUNCTION("""COMPUTED_VALUE"""),"http://repositorio.ufba.br/ri/handle/ri/17849")</f>
        <v>http://repositorio.ufba.br/ri/handle/ri/17849</v>
      </c>
      <c r="I78" s="24" t="str">
        <f>IFERROR(__xludf.DUMMYFUNCTION("""COMPUTED_VALUE"""),"Ciências Humanas")</f>
        <v>Ciências Humanas</v>
      </c>
    </row>
    <row r="79">
      <c r="A79" s="24" t="str">
        <f>IFERROR(__xludf.DUMMYFUNCTION("""COMPUTED_VALUE"""),"A tradição da civilidade nos livros de leitura no Império e na Primeira República")</f>
        <v>A tradição da civilidade nos livros de leitura no Império e na Primeira República</v>
      </c>
      <c r="B79" s="24" t="str">
        <f>IFERROR(__xludf.DUMMYFUNCTION("""COMPUTED_VALUE"""),"Fabiana Sena")</f>
        <v>Fabiana Sena</v>
      </c>
      <c r="C79" s="24" t="str">
        <f>IFERROR(__xludf.DUMMYFUNCTION("""COMPUTED_VALUE"""),"Campina Grande")</f>
        <v>Campina Grande</v>
      </c>
      <c r="D79" s="24" t="str">
        <f>IFERROR(__xludf.DUMMYFUNCTION("""COMPUTED_VALUE"""),"EDUEPB")</f>
        <v>EDUEPB</v>
      </c>
      <c r="E79" s="25">
        <f>IFERROR(__xludf.DUMMYFUNCTION("""COMPUTED_VALUE"""),2017.0)</f>
        <v>2017</v>
      </c>
      <c r="F79" s="24" t="str">
        <f>IFERROR(__xludf.DUMMYFUNCTION("""COMPUTED_VALUE"""),"História da leitura. História do livro. História da educação. Educação brasileira")</f>
        <v>História da leitura. História do livro. História da educação. Educação brasileira</v>
      </c>
      <c r="G79" s="28" t="str">
        <f>IFERROR(__xludf.DUMMYFUNCTION("""COMPUTED_VALUE"""),"9788578793975")</f>
        <v>9788578793975</v>
      </c>
      <c r="H79" s="29" t="str">
        <f>IFERROR(__xludf.DUMMYFUNCTION("""COMPUTED_VALUE"""),"http://eduepb.uepb.edu.br/download/a-tradicao-da-civilidade-nos-livros-de-leitura-no-imperio-e-na-primeira-republica/?wpdmdl=163&amp;amp;masterkey=5af9969f0558c")</f>
        <v>http://eduepb.uepb.edu.br/download/a-tradicao-da-civilidade-nos-livros-de-leitura-no-imperio-e-na-primeira-republica/?wpdmdl=163&amp;amp;masterkey=5af9969f0558c</v>
      </c>
      <c r="I79" s="24" t="str">
        <f>IFERROR(__xludf.DUMMYFUNCTION("""COMPUTED_VALUE"""),"Ciências Humanas")</f>
        <v>Ciências Humanas</v>
      </c>
    </row>
    <row r="80">
      <c r="A80" s="24" t="str">
        <f>IFERROR(__xludf.DUMMYFUNCTION("""COMPUTED_VALUE"""),"A travessia difícil: notas sobre o ético, o técnico e o estético na crise da modernidade")</f>
        <v>A travessia difícil: notas sobre o ético, o técnico e o estético na crise da modernidade</v>
      </c>
      <c r="B80" s="24" t="str">
        <f>IFERROR(__xludf.DUMMYFUNCTION("""COMPUTED_VALUE"""),"Jorge Lucio de Campos")</f>
        <v>Jorge Lucio de Campos</v>
      </c>
      <c r="C80" s="24" t="str">
        <f>IFERROR(__xludf.DUMMYFUNCTION("""COMPUTED_VALUE"""),"Rio de Janeiro")</f>
        <v>Rio de Janeiro</v>
      </c>
      <c r="D80" s="24" t="str">
        <f>IFERROR(__xludf.DUMMYFUNCTION("""COMPUTED_VALUE"""),"EdUERJ")</f>
        <v>EdUERJ</v>
      </c>
      <c r="E80" s="25">
        <f>IFERROR(__xludf.DUMMYFUNCTION("""COMPUTED_VALUE"""),2015.0)</f>
        <v>2015</v>
      </c>
      <c r="F80" s="24" t="str">
        <f>IFERROR(__xludf.DUMMYFUNCTION("""COMPUTED_VALUE"""),"Arte; Filosofia; Estética")</f>
        <v>Arte; Filosofia; Estética</v>
      </c>
      <c r="G80" s="28" t="str">
        <f>IFERROR(__xludf.DUMMYFUNCTION("""COMPUTED_VALUE"""),"9788575113820")</f>
        <v>9788575113820</v>
      </c>
      <c r="H80" s="29" t="str">
        <f>IFERROR(__xludf.DUMMYFUNCTION("""COMPUTED_VALUE"""),"https://www.eduerj.com/eng/?product=a-travessia-dificil-notas-sobre-o-etico-o-tecnico-e-o-estetico-na-crise-da-modernidade-2")</f>
        <v>https://www.eduerj.com/eng/?product=a-travessia-dificil-notas-sobre-o-etico-o-tecnico-e-o-estetico-na-crise-da-modernidade-2</v>
      </c>
      <c r="I80" s="24" t="str">
        <f>IFERROR(__xludf.DUMMYFUNCTION("""COMPUTED_VALUE"""),"Ciências Humanas")</f>
        <v>Ciências Humanas</v>
      </c>
    </row>
    <row r="81">
      <c r="A81" s="24" t="str">
        <f>IFERROR(__xludf.DUMMYFUNCTION("""COMPUTED_VALUE"""),"A UFGD na memória científica: contribuições do programa de pós-graduação em educação")</f>
        <v>A UFGD na memória científica: contribuições do programa de pós-graduação em educação</v>
      </c>
      <c r="B81" s="24" t="str">
        <f>IFERROR(__xludf.DUMMYFUNCTION("""COMPUTED_VALUE"""),"Giselle Cristina Martins Real, Eugenia Portela de Siqueira Marques (org.)")</f>
        <v>Giselle Cristina Martins Real, Eugenia Portela de Siqueira Marques (org.)</v>
      </c>
      <c r="C81" s="24" t="str">
        <f>IFERROR(__xludf.DUMMYFUNCTION("""COMPUTED_VALUE"""),"Dourados, MS")</f>
        <v>Dourados, MS</v>
      </c>
      <c r="D81" s="24" t="str">
        <f>IFERROR(__xludf.DUMMYFUNCTION("""COMPUTED_VALUE"""),"Ed. Universidade Federal da Grande Dourados")</f>
        <v>Ed. Universidade Federal da Grande Dourados</v>
      </c>
      <c r="E81" s="25">
        <f>IFERROR(__xludf.DUMMYFUNCTION("""COMPUTED_VALUE"""),2020.0)</f>
        <v>2020</v>
      </c>
      <c r="F81" s="24" t="str">
        <f>IFERROR(__xludf.DUMMYFUNCTION("""COMPUTED_VALUE"""),"Educação; Educação superior; Memória científica")</f>
        <v>Educação; Educação superior; Memória científica</v>
      </c>
      <c r="G81" s="28" t="str">
        <f>IFERROR(__xludf.DUMMYFUNCTION("""COMPUTED_VALUE"""),"9788581471778")</f>
        <v>9788581471778</v>
      </c>
      <c r="H81" s="29" t="str">
        <f>IFERROR(__xludf.DUMMYFUNCTION("""COMPUTED_VALUE"""),"http://omp.ufgd.edu.br/omp/index.php/livrosabertos/catalog/view/328/259/2479-1")</f>
        <v>http://omp.ufgd.edu.br/omp/index.php/livrosabertos/catalog/view/328/259/2479-1</v>
      </c>
      <c r="I81" s="24" t="str">
        <f>IFERROR(__xludf.DUMMYFUNCTION("""COMPUTED_VALUE"""),"Ciências Humanas")</f>
        <v>Ciências Humanas</v>
      </c>
    </row>
    <row r="82">
      <c r="A82" s="24" t="str">
        <f>IFERROR(__xludf.DUMMYFUNCTION("""COMPUTED_VALUE"""),"A UNE em tempos de autoritarismo")</f>
        <v>A UNE em tempos de autoritarismo</v>
      </c>
      <c r="B82" s="24" t="str">
        <f>IFERROR(__xludf.DUMMYFUNCTION("""COMPUTED_VALUE"""),"Maria de Lourdes de A. Fávero")</f>
        <v>Maria de Lourdes de A. Fávero</v>
      </c>
      <c r="C82" s="24" t="str">
        <f>IFERROR(__xludf.DUMMYFUNCTION("""COMPUTED_VALUE"""),"Rio de Janeiro")</f>
        <v>Rio de Janeiro</v>
      </c>
      <c r="D82" s="24" t="str">
        <f>IFERROR(__xludf.DUMMYFUNCTION("""COMPUTED_VALUE"""),"Editora UFRJ")</f>
        <v>Editora UFRJ</v>
      </c>
      <c r="E82" s="25">
        <f>IFERROR(__xludf.DUMMYFUNCTION("""COMPUTED_VALUE"""),2009.0)</f>
        <v>2009</v>
      </c>
      <c r="F82" s="24" t="str">
        <f>IFERROR(__xludf.DUMMYFUNCTION("""COMPUTED_VALUE"""),"União Nacional dos Estudantes; Organizações estudantis; Movimento estudantil")</f>
        <v>União Nacional dos Estudantes; Organizações estudantis; Movimento estudantil</v>
      </c>
      <c r="G82" s="28" t="str">
        <f>IFERROR(__xludf.DUMMYFUNCTION("""COMPUTED_VALUE"""),"9788571083448")</f>
        <v>9788571083448</v>
      </c>
      <c r="H82" s="29" t="str">
        <f>IFERROR(__xludf.DUMMYFUNCTION("""COMPUTED_VALUE"""),"http://www.editora.ufrj.br/DynamicItems/livrosabertos-1/a-UNE-em-tempos-de-autoritarismo.pdf")</f>
        <v>http://www.editora.ufrj.br/DynamicItems/livrosabertos-1/a-UNE-em-tempos-de-autoritarismo.pdf</v>
      </c>
      <c r="I82" s="24" t="str">
        <f>IFERROR(__xludf.DUMMYFUNCTION("""COMPUTED_VALUE"""),"Ciências Humanas")</f>
        <v>Ciências Humanas</v>
      </c>
    </row>
    <row r="83">
      <c r="A83" s="24" t="str">
        <f>IFERROR(__xludf.DUMMYFUNCTION("""COMPUTED_VALUE"""),"A União dos trabalhadores favelados e a luta contra o controle negociado das favelas cariocas (1954 - 1964)")</f>
        <v>A União dos trabalhadores favelados e a luta contra o controle negociado das favelas cariocas (1954 - 1964)</v>
      </c>
      <c r="B83" s="24" t="str">
        <f>IFERROR(__xludf.DUMMYFUNCTION("""COMPUTED_VALUE"""),"Marco Marques Pestana")</f>
        <v>Marco Marques Pestana</v>
      </c>
      <c r="C83" s="24"/>
      <c r="D83" s="24" t="str">
        <f>IFERROR(__xludf.DUMMYFUNCTION("""COMPUTED_VALUE"""),"EdUFF")</f>
        <v>EdUFF</v>
      </c>
      <c r="E83" s="25">
        <f>IFERROR(__xludf.DUMMYFUNCTION("""COMPUTED_VALUE"""),2016.0)</f>
        <v>2016</v>
      </c>
      <c r="F83" s="24" t="str">
        <f>IFERROR(__xludf.DUMMYFUNCTION("""COMPUTED_VALUE"""),"Favelas; Trabalhadores")</f>
        <v>Favelas; Trabalhadores</v>
      </c>
      <c r="G83" s="28" t="str">
        <f>IFERROR(__xludf.DUMMYFUNCTION("""COMPUTED_VALUE"""),"9788522811779")</f>
        <v>9788522811779</v>
      </c>
      <c r="H83" s="29" t="str">
        <f>IFERROR(__xludf.DUMMYFUNCTION("""COMPUTED_VALUE"""),"http://www.eduff.uff.br/index.php/catalogo/8-catalogo/livros/518-a-uniao-dos-trabalhadores-favelados-e-a-luta-contra-o-controle-negociado-das-favelas-cariocas-1954-1965")</f>
        <v>http://www.eduff.uff.br/index.php/catalogo/8-catalogo/livros/518-a-uniao-dos-trabalhadores-favelados-e-a-luta-contra-o-controle-negociado-das-favelas-cariocas-1954-1965</v>
      </c>
      <c r="I83" s="24" t="str">
        <f>IFERROR(__xludf.DUMMYFUNCTION("""COMPUTED_VALUE"""),"Ciências Humanas")</f>
        <v>Ciências Humanas</v>
      </c>
    </row>
    <row r="84">
      <c r="A84" s="24" t="str">
        <f>IFERROR(__xludf.DUMMYFUNCTION("""COMPUTED_VALUE"""),"A universidade do encontro e da inclusão: conferência e mesas da 4ª SIIEPE.")</f>
        <v>A universidade do encontro e da inclusão: conferência e mesas da 4ª SIIEPE.</v>
      </c>
      <c r="B84" s="24" t="str">
        <f>IFERROR(__xludf.DUMMYFUNCTION("""COMPUTED_VALUE"""),"Michelon, Francisca Ferreira")</f>
        <v>Michelon, Francisca Ferreira</v>
      </c>
      <c r="C84" s="24" t="str">
        <f>IFERROR(__xludf.DUMMYFUNCTION("""COMPUTED_VALUE"""),"Pelotas")</f>
        <v>Pelotas</v>
      </c>
      <c r="D84" s="24" t="str">
        <f>IFERROR(__xludf.DUMMYFUNCTION("""COMPUTED_VALUE"""),"UFPel")</f>
        <v>UFPel</v>
      </c>
      <c r="E84" s="25">
        <f>IFERROR(__xludf.DUMMYFUNCTION("""COMPUTED_VALUE"""),2019.0)</f>
        <v>2019</v>
      </c>
      <c r="F84" s="24" t="str">
        <f>IFERROR(__xludf.DUMMYFUNCTION("""COMPUTED_VALUE"""),"Ensino superior - UFPel; Universidades; Inclusão social; SIIEPE I")</f>
        <v>Ensino superior - UFPel; Universidades; Inclusão social; SIIEPE I</v>
      </c>
      <c r="G84" s="28" t="str">
        <f>IFERROR(__xludf.DUMMYFUNCTION("""COMPUTED_VALUE"""),"9788551700365")</f>
        <v>9788551700365</v>
      </c>
      <c r="H84" s="29" t="str">
        <f>IFERROR(__xludf.DUMMYFUNCTION("""COMPUTED_VALUE"""),"http://guaiaca.ufpel.edu.br/bitstream/prefix/4443/3/A%20universidade%20do%20encontro%20e%20da%20inclus%c3%a3o%20-%20para%20troca%20no%20reposit%c3%b3rio.pdf")</f>
        <v>http://guaiaca.ufpel.edu.br/bitstream/prefix/4443/3/A%20universidade%20do%20encontro%20e%20da%20inclus%c3%a3o%20-%20para%20troca%20no%20reposit%c3%b3rio.pdf</v>
      </c>
      <c r="I84" s="24" t="str">
        <f>IFERROR(__xludf.DUMMYFUNCTION("""COMPUTED_VALUE"""),"Ciências Humanas")</f>
        <v>Ciências Humanas</v>
      </c>
    </row>
    <row r="85">
      <c r="A85" s="24" t="str">
        <f>IFERROR(__xludf.DUMMYFUNCTION("""COMPUTED_VALUE"""),"A universidade e o princípio da indissociabilidade entre ensino, pesquisa e extensão: utopia ou realidade?")</f>
        <v>A universidade e o princípio da indissociabilidade entre ensino, pesquisa e extensão: utopia ou realidade?</v>
      </c>
      <c r="B85" s="24" t="str">
        <f>IFERROR(__xludf.DUMMYFUNCTION("""COMPUTED_VALUE"""),"Alderlândia da Silva Maciel")</f>
        <v>Alderlândia da Silva Maciel</v>
      </c>
      <c r="C85" s="24" t="str">
        <f>IFERROR(__xludf.DUMMYFUNCTION("""COMPUTED_VALUE"""),"Rio Branco")</f>
        <v>Rio Branco</v>
      </c>
      <c r="D85" s="24" t="str">
        <f>IFERROR(__xludf.DUMMYFUNCTION("""COMPUTED_VALUE"""),"Edufac")</f>
        <v>Edufac</v>
      </c>
      <c r="E85" s="25">
        <f>IFERROR(__xludf.DUMMYFUNCTION("""COMPUTED_VALUE"""),2017.0)</f>
        <v>2017</v>
      </c>
      <c r="F85" s="24" t="str">
        <f>IFERROR(__xludf.DUMMYFUNCTION("""COMPUTED_VALUE"""),"Universidade – Extensão; Universidade – Pesquisa; Universidade – Ensino")</f>
        <v>Universidade – Extensão; Universidade – Pesquisa; Universidade – Ensino</v>
      </c>
      <c r="G85" s="28" t="str">
        <f>IFERROR(__xludf.DUMMYFUNCTION("""COMPUTED_VALUE"""),"9788582360699")</f>
        <v>9788582360699</v>
      </c>
      <c r="H85" s="29" t="str">
        <f>IFERROR(__xludf.DUMMYFUNCTION("""COMPUTED_VALUE"""),"http://www2.ufac.br/editora/livros/a-universidade-e-o-principio-da-indissociabilidade-entre-ensino.pdf")</f>
        <v>http://www2.ufac.br/editora/livros/a-universidade-e-o-principio-da-indissociabilidade-entre-ensino.pdf</v>
      </c>
      <c r="I85" s="24" t="str">
        <f>IFERROR(__xludf.DUMMYFUNCTION("""COMPUTED_VALUE"""),"Ciências Humanas")</f>
        <v>Ciências Humanas</v>
      </c>
    </row>
    <row r="86">
      <c r="A86" s="24" t="str">
        <f>IFERROR(__xludf.DUMMYFUNCTION("""COMPUTED_VALUE"""),"A vida acadêmica e a influência do matemático Luis Adauto da Justa Medeiros")</f>
        <v>A vida acadêmica e a influência do matemático Luis Adauto da Justa Medeiros</v>
      </c>
      <c r="B86" s="24" t="str">
        <f>IFERROR(__xludf.DUMMYFUNCTION("""COMPUTED_VALUE"""),"Silva, Clovis Pereira da")</f>
        <v>Silva, Clovis Pereira da</v>
      </c>
      <c r="C86" s="24" t="str">
        <f>IFERROR(__xludf.DUMMYFUNCTION("""COMPUTED_VALUE"""),"Rio de Janeiro")</f>
        <v>Rio de Janeiro</v>
      </c>
      <c r="D86" s="24" t="str">
        <f>IFERROR(__xludf.DUMMYFUNCTION("""COMPUTED_VALUE"""),"Ed. IM-UFRJ")</f>
        <v>Ed. IM-UFRJ</v>
      </c>
      <c r="E86" s="25">
        <f>IFERROR(__xludf.DUMMYFUNCTION("""COMPUTED_VALUE"""),2020.0)</f>
        <v>2020</v>
      </c>
      <c r="F86" s="24" t="str">
        <f>IFERROR(__xludf.DUMMYFUNCTION("""COMPUTED_VALUE"""),"Medeiros, Luis Adauto da Justa, 1926-")</f>
        <v>Medeiros, Luis Adauto da Justa, 1926-</v>
      </c>
      <c r="G86" s="28" t="str">
        <f>IFERROR(__xludf.DUMMYFUNCTION("""COMPUTED_VALUE"""),"9786586502015")</f>
        <v>9786586502015</v>
      </c>
      <c r="H86" s="29" t="str">
        <f>IFERROR(__xludf.DUMMYFUNCTION("""COMPUTED_VALUE"""),"https://hdl.handle.net/1884/66950")</f>
        <v>https://hdl.handle.net/1884/66950</v>
      </c>
      <c r="I86" s="24" t="str">
        <f>IFERROR(__xludf.DUMMYFUNCTION("""COMPUTED_VALUE"""),"Ciências Humanas")</f>
        <v>Ciências Humanas</v>
      </c>
    </row>
    <row r="87">
      <c r="A87" s="24" t="str">
        <f>IFERROR(__xludf.DUMMYFUNCTION("""COMPUTED_VALUE"""),"A vida na voz: mídia, idolatria e consumo de biografias")</f>
        <v>A vida na voz: mídia, idolatria e consumo de biografias</v>
      </c>
      <c r="B87" s="24" t="str">
        <f>IFERROR(__xludf.DUMMYFUNCTION("""COMPUTED_VALUE"""),"Patricia Coralis")</f>
        <v>Patricia Coralis</v>
      </c>
      <c r="C87" s="24" t="str">
        <f>IFERROR(__xludf.DUMMYFUNCTION("""COMPUTED_VALUE"""),"Rio de Janeiro")</f>
        <v>Rio de Janeiro</v>
      </c>
      <c r="D87" s="24" t="str">
        <f>IFERROR(__xludf.DUMMYFUNCTION("""COMPUTED_VALUE"""),"EdUERJ")</f>
        <v>EdUERJ</v>
      </c>
      <c r="E87" s="25">
        <f>IFERROR(__xludf.DUMMYFUNCTION("""COMPUTED_VALUE"""),2014.0)</f>
        <v>2014</v>
      </c>
      <c r="F87" s="24" t="str">
        <f>IFERROR(__xludf.DUMMYFUNCTION("""COMPUTED_VALUE"""),"Biografia; Mídia; Idolatria ")</f>
        <v>Biografia; Mídia; Idolatria </v>
      </c>
      <c r="G87" s="28" t="str">
        <f>IFERROR(__xludf.DUMMYFUNCTION("""COMPUTED_VALUE"""),"9788575113301")</f>
        <v>9788575113301</v>
      </c>
      <c r="H87" s="29" t="str">
        <f>IFERROR(__xludf.DUMMYFUNCTION("""COMPUTED_VALUE"""),"https://www.eduerj.com/eng/?product=a-vida-na-voz-midia-idolatria-e-consumo-de-biografias-ebook")</f>
        <v>https://www.eduerj.com/eng/?product=a-vida-na-voz-midia-idolatria-e-consumo-de-biografias-ebook</v>
      </c>
      <c r="I87" s="24" t="str">
        <f>IFERROR(__xludf.DUMMYFUNCTION("""COMPUTED_VALUE"""),"Ciências Humanas")</f>
        <v>Ciências Humanas</v>
      </c>
    </row>
    <row r="88">
      <c r="A88" s="24" t="str">
        <f>IFERROR(__xludf.DUMMYFUNCTION("""COMPUTED_VALUE"""),"A violeta grapiúna: vida e obra de Elvira Foeppel ")</f>
        <v>A violeta grapiúna: vida e obra de Elvira Foeppel </v>
      </c>
      <c r="B88" s="24" t="str">
        <f>IFERROR(__xludf.DUMMYFUNCTION("""COMPUTED_VALUE"""),"Vanilda Salignac S. Mazzoni")</f>
        <v>Vanilda Salignac S. Mazzoni</v>
      </c>
      <c r="C88" s="24" t="str">
        <f>IFERROR(__xludf.DUMMYFUNCTION("""COMPUTED_VALUE"""),"Ilhéus, BA")</f>
        <v>Ilhéus, BA</v>
      </c>
      <c r="D88" s="24" t="str">
        <f>IFERROR(__xludf.DUMMYFUNCTION("""COMPUTED_VALUE"""),"Editus")</f>
        <v>Editus</v>
      </c>
      <c r="E88" s="25">
        <f>IFERROR(__xludf.DUMMYFUNCTION("""COMPUTED_VALUE"""),2003.0)</f>
        <v>2003</v>
      </c>
      <c r="F88" s="24" t="str">
        <f>IFERROR(__xludf.DUMMYFUNCTION("""COMPUTED_VALUE"""),"Foeppel, Elvira Schaun, 1923 - 199-; Biografia")</f>
        <v>Foeppel, Elvira Schaun, 1923 - 199-; Biografia</v>
      </c>
      <c r="G88" s="28" t="str">
        <f>IFERROR(__xludf.DUMMYFUNCTION("""COMPUTED_VALUE"""),"8574550582")</f>
        <v>8574550582</v>
      </c>
      <c r="H88" s="29" t="str">
        <f>IFERROR(__xludf.DUMMYFUNCTION("""COMPUTED_VALUE"""),"http://www.uesc.br/editora/livrosdigitais2015/a_violeta_grapiuna.pdf")</f>
        <v>http://www.uesc.br/editora/livrosdigitais2015/a_violeta_grapiuna.pdf</v>
      </c>
      <c r="I88" s="24" t="str">
        <f>IFERROR(__xludf.DUMMYFUNCTION("""COMPUTED_VALUE"""),"Ciências Humanas")</f>
        <v>Ciências Humanas</v>
      </c>
    </row>
    <row r="89">
      <c r="A89" s="24" t="str">
        <f>IFERROR(__xludf.DUMMYFUNCTION("""COMPUTED_VALUE"""),"Abracaldabra: uma aventura afeto-cognitiva na relação museu-educação ")</f>
        <v>Abracaldabra: uma aventura afeto-cognitiva na relação museu-educação </v>
      </c>
      <c r="B89" s="24" t="str">
        <f>IFERROR(__xludf.DUMMYFUNCTION("""COMPUTED_VALUE"""),"Yára Mattos, Ione Mattos")</f>
        <v>Yára Mattos, Ione Mattos</v>
      </c>
      <c r="C89" s="24" t="str">
        <f>IFERROR(__xludf.DUMMYFUNCTION("""COMPUTED_VALUE"""),"Ouro Preto")</f>
        <v>Ouro Preto</v>
      </c>
      <c r="D89" s="24" t="str">
        <f>IFERROR(__xludf.DUMMYFUNCTION("""COMPUTED_VALUE"""),"UFOP")</f>
        <v>UFOP</v>
      </c>
      <c r="E89" s="25">
        <f>IFERROR(__xludf.DUMMYFUNCTION("""COMPUTED_VALUE"""),2010.0)</f>
        <v>2010</v>
      </c>
      <c r="F89" s="24" t="str">
        <f>IFERROR(__xludf.DUMMYFUNCTION("""COMPUTED_VALUE"""),"Museologia. Museus - Educação. Museus - Aspectos educacionais")</f>
        <v>Museologia. Museus - Educação. Museus - Aspectos educacionais</v>
      </c>
      <c r="G89" s="26"/>
      <c r="H89" s="29" t="str">
        <f>IFERROR(__xludf.DUMMYFUNCTION("""COMPUTED_VALUE"""),"https://www.editora.ufop.br/index.php/editora/catalog/view/19/9/36-1")</f>
        <v>https://www.editora.ufop.br/index.php/editora/catalog/view/19/9/36-1</v>
      </c>
      <c r="I89" s="24" t="str">
        <f>IFERROR(__xludf.DUMMYFUNCTION("""COMPUTED_VALUE"""),"Ciências Humanas")</f>
        <v>Ciências Humanas</v>
      </c>
    </row>
    <row r="90">
      <c r="A90" s="24" t="str">
        <f>IFERROR(__xludf.DUMMYFUNCTION("""COMPUTED_VALUE"""),"Ação afirmativa na PUC-Rio: inserção de pobres e negros")</f>
        <v>Ação afirmativa na PUC-Rio: inserção de pobres e negros</v>
      </c>
      <c r="B90" s="24" t="str">
        <f>IFERROR(__xludf.DUMMYFUNCTION("""COMPUTED_VALUE"""),"Andréia Clapp Salvador")</f>
        <v>Andréia Clapp Salvador</v>
      </c>
      <c r="C90" s="24" t="str">
        <f>IFERROR(__xludf.DUMMYFUNCTION("""COMPUTED_VALUE"""),"Rio de Janeiro")</f>
        <v>Rio de Janeiro</v>
      </c>
      <c r="D90" s="24" t="str">
        <f>IFERROR(__xludf.DUMMYFUNCTION("""COMPUTED_VALUE"""),"Editora PUC Rio")</f>
        <v>Editora PUC Rio</v>
      </c>
      <c r="E90" s="25">
        <f>IFERROR(__xludf.DUMMYFUNCTION("""COMPUTED_VALUE"""),2011.0)</f>
        <v>2011</v>
      </c>
      <c r="F90" s="24" t="str">
        <f>IFERROR(__xludf.DUMMYFUNCTION("""COMPUTED_VALUE"""),"Discriminação na educação – Brasil. Negros - Educação (superior) - Rio de Janeiro. Pobres - Educação – Rio de Janeiro")</f>
        <v>Discriminação na educação – Brasil. Negros - Educação (superior) - Rio de Janeiro. Pobres - Educação – Rio de Janeiro</v>
      </c>
      <c r="G90" s="28" t="str">
        <f>IFERROR(__xludf.DUMMYFUNCTION("""COMPUTED_VALUE"""),"9788580060287")</f>
        <v>9788580060287</v>
      </c>
      <c r="H90" s="29" t="str">
        <f>IFERROR(__xludf.DUMMYFUNCTION("""COMPUTED_VALUE"""),"http://www.editora.puc-rio.br/media/ebook%20acao%20afirmativa%20puc%20rio.pdf")</f>
        <v>http://www.editora.puc-rio.br/media/ebook%20acao%20afirmativa%20puc%20rio.pdf</v>
      </c>
      <c r="I90" s="24" t="str">
        <f>IFERROR(__xludf.DUMMYFUNCTION("""COMPUTED_VALUE"""),"Ciências Humanas")</f>
        <v>Ciências Humanas</v>
      </c>
    </row>
    <row r="91">
      <c r="A91" s="24" t="str">
        <f>IFERROR(__xludf.DUMMYFUNCTION("""COMPUTED_VALUE"""),"Ação afirmativa: conceito, história e debates")</f>
        <v>Ação afirmativa: conceito, história e debates</v>
      </c>
      <c r="B91" s="24" t="str">
        <f>IFERROR(__xludf.DUMMYFUNCTION("""COMPUTED_VALUE"""),"João Feres Júnior, Luiz Augusto Campos, Verônica Toste Daflon e Anna Carolina Venturini")</f>
        <v>João Feres Júnior, Luiz Augusto Campos, Verônica Toste Daflon e Anna Carolina Venturini</v>
      </c>
      <c r="C91" s="24" t="str">
        <f>IFERROR(__xludf.DUMMYFUNCTION("""COMPUTED_VALUE"""),"Rio de Janeiro")</f>
        <v>Rio de Janeiro</v>
      </c>
      <c r="D91" s="24" t="str">
        <f>IFERROR(__xludf.DUMMYFUNCTION("""COMPUTED_VALUE"""),"EdUERJ")</f>
        <v>EdUERJ</v>
      </c>
      <c r="E91" s="25">
        <f>IFERROR(__xludf.DUMMYFUNCTION("""COMPUTED_VALUE"""),2018.0)</f>
        <v>2018</v>
      </c>
      <c r="F91" s="24" t="str">
        <f>IFERROR(__xludf.DUMMYFUNCTION("""COMPUTED_VALUE"""),"Ciência política; Políticas públicas; Política educacional;. Análise institucional")</f>
        <v>Ciência política; Políticas públicas; Política educacional;. Análise institucional</v>
      </c>
      <c r="G91" s="28" t="str">
        <f>IFERROR(__xludf.DUMMYFUNCTION("""COMPUTED_VALUE"""),"9788575114889")</f>
        <v>9788575114889</v>
      </c>
      <c r="H91" s="29" t="str">
        <f>IFERROR(__xludf.DUMMYFUNCTION("""COMPUTED_VALUE"""),"https://www.eduerj.com/eng/?product=acao-afirmativa-conceito-historia-e-debates-ebook")</f>
        <v>https://www.eduerj.com/eng/?product=acao-afirmativa-conceito-historia-e-debates-ebook</v>
      </c>
      <c r="I91" s="24" t="str">
        <f>IFERROR(__xludf.DUMMYFUNCTION("""COMPUTED_VALUE"""),"Ciências Humanas")</f>
        <v>Ciências Humanas</v>
      </c>
    </row>
    <row r="92">
      <c r="A92" s="24" t="str">
        <f>IFERROR(__xludf.DUMMYFUNCTION("""COMPUTED_VALUE"""),"Ação afirmativa:conceito, história e debates")</f>
        <v>Ação afirmativa:conceito, história e debates</v>
      </c>
      <c r="B92" s="24" t="str">
        <f>IFERROR(__xludf.DUMMYFUNCTION("""COMPUTED_VALUE"""),"João Feres Júnior ... (et al.).")</f>
        <v>João Feres Júnior ... (et al.).</v>
      </c>
      <c r="C92" s="24" t="str">
        <f>IFERROR(__xludf.DUMMYFUNCTION("""COMPUTED_VALUE"""),"Rio de Janeiro, RJ")</f>
        <v>Rio de Janeiro, RJ</v>
      </c>
      <c r="D92" s="24" t="str">
        <f>IFERROR(__xludf.DUMMYFUNCTION("""COMPUTED_VALUE"""),"EdUERJ")</f>
        <v>EdUERJ</v>
      </c>
      <c r="E92" s="25">
        <f>IFERROR(__xludf.DUMMYFUNCTION("""COMPUTED_VALUE"""),2018.0)</f>
        <v>2018</v>
      </c>
      <c r="F92" s="24" t="str">
        <f>IFERROR(__xludf.DUMMYFUNCTION("""COMPUTED_VALUE"""),"Ciência política; Políticas públicas; Política educacional; Análise institucional")</f>
        <v>Ciência política; Políticas públicas; Política educacional; Análise institucional</v>
      </c>
      <c r="G92" s="28" t="str">
        <f>IFERROR(__xludf.DUMMYFUNCTION("""COMPUTED_VALUE"""),"9788575114889")</f>
        <v>9788575114889</v>
      </c>
      <c r="H92" s="29" t="str">
        <f>IFERROR(__xludf.DUMMYFUNCTION("""COMPUTED_VALUE"""),"http://books.scielo.org/id/2mvbb/pdf/feres-9786599036477.pdf")</f>
        <v>http://books.scielo.org/id/2mvbb/pdf/feres-9786599036477.pdf</v>
      </c>
      <c r="I92" s="24" t="str">
        <f>IFERROR(__xludf.DUMMYFUNCTION("""COMPUTED_VALUE"""),"Ciências Humanas")</f>
        <v>Ciências Humanas</v>
      </c>
    </row>
    <row r="93">
      <c r="A93" s="24" t="str">
        <f>IFERROR(__xludf.DUMMYFUNCTION("""COMPUTED_VALUE"""),"Acessibilidade: avaliação de centros universitários (disponível temporariamente)")</f>
        <v>Acessibilidade: avaliação de centros universitários (disponível temporariamente)</v>
      </c>
      <c r="B93" s="24" t="str">
        <f>IFERROR(__xludf.DUMMYFUNCTION("""COMPUTED_VALUE"""),"Flaviano Batista do Nascimento, Damião de Lima")</f>
        <v>Flaviano Batista do Nascimento, Damião de Lima</v>
      </c>
      <c r="C93" s="24" t="str">
        <f>IFERROR(__xludf.DUMMYFUNCTION("""COMPUTED_VALUE"""),"João Pessoa")</f>
        <v>João Pessoa</v>
      </c>
      <c r="D93" s="24" t="str">
        <f>IFERROR(__xludf.DUMMYFUNCTION("""COMPUTED_VALUE"""),"Editora da UFPB")</f>
        <v>Editora da UFPB</v>
      </c>
      <c r="E93" s="25">
        <f>IFERROR(__xludf.DUMMYFUNCTION("""COMPUTED_VALUE"""),2018.0)</f>
        <v>2018</v>
      </c>
      <c r="F93" s="24" t="str">
        <f>IFERROR(__xludf.DUMMYFUNCTION("""COMPUTED_VALUE"""),"Educação superior; Avaliação; Acessibilidade; Centros universitários; Pessoas com deficiência")</f>
        <v>Educação superior; Avaliação; Acessibilidade; Centros universitários; Pessoas com deficiência</v>
      </c>
      <c r="G93" s="28" t="str">
        <f>IFERROR(__xludf.DUMMYFUNCTION("""COMPUTED_VALUE"""),"9788523712921")</f>
        <v>9788523712921</v>
      </c>
      <c r="H93" s="29" t="str">
        <f>IFERROR(__xludf.DUMMYFUNCTION("""COMPUTED_VALUE"""),"http://www.editora.ufpb.br/sistema/press5/index.php/UFPB/catalog/book/487")</f>
        <v>http://www.editora.ufpb.br/sistema/press5/index.php/UFPB/catalog/book/487</v>
      </c>
      <c r="I93" s="24" t="str">
        <f>IFERROR(__xludf.DUMMYFUNCTION("""COMPUTED_VALUE"""),"Ciências Humanas")</f>
        <v>Ciências Humanas</v>
      </c>
    </row>
    <row r="94">
      <c r="A94" s="24" t="str">
        <f>IFERROR(__xludf.DUMMYFUNCTION("""COMPUTED_VALUE"""),"Ações coletivas de professoras na gestão democrática: uma vivência micropolítica “íntimo-clandestina”")</f>
        <v>Ações coletivas de professoras na gestão democrática: uma vivência micropolítica “íntimo-clandestina”</v>
      </c>
      <c r="B94" s="24" t="str">
        <f>IFERROR(__xludf.DUMMYFUNCTION("""COMPUTED_VALUE"""),"André Antunes Martins")</f>
        <v>André Antunes Martins</v>
      </c>
      <c r="C94" s="24" t="str">
        <f>IFERROR(__xludf.DUMMYFUNCTION("""COMPUTED_VALUE"""),"Niterói, RJ")</f>
        <v>Niterói, RJ</v>
      </c>
      <c r="D94" s="24" t="str">
        <f>IFERROR(__xludf.DUMMYFUNCTION("""COMPUTED_VALUE"""),"EDUFF")</f>
        <v>EDUFF</v>
      </c>
      <c r="E94" s="25">
        <f>IFERROR(__xludf.DUMMYFUNCTION("""COMPUTED_VALUE"""),2010.0)</f>
        <v>2010</v>
      </c>
      <c r="F94" s="24" t="str">
        <f>IFERROR(__xludf.DUMMYFUNCTION("""COMPUTED_VALUE"""),"Educação; Políticas educacionais")</f>
        <v>Educação; Políticas educacionais</v>
      </c>
      <c r="G94" s="28" t="str">
        <f>IFERROR(__xludf.DUMMYFUNCTION("""COMPUTED_VALUE"""),"9788522805280")</f>
        <v>9788522805280</v>
      </c>
      <c r="H94" s="29" t="str">
        <f>IFERROR(__xludf.DUMMYFUNCTION("""COMPUTED_VALUE"""),"http://bit.ly/Acoes-coletivas-de-professores-na-gestao-democratica")</f>
        <v>http://bit.ly/Acoes-coletivas-de-professores-na-gestao-democratica</v>
      </c>
      <c r="I94" s="24" t="str">
        <f>IFERROR(__xludf.DUMMYFUNCTION("""COMPUTED_VALUE"""),"Ciências Humanas")</f>
        <v>Ciências Humanas</v>
      </c>
    </row>
    <row r="95">
      <c r="A95" s="24" t="str">
        <f>IFERROR(__xludf.DUMMYFUNCTION("""COMPUTED_VALUE"""),"Ações inclusivas na Academia: professores universitários com deficiência")</f>
        <v>Ações inclusivas na Academia: professores universitários com deficiência</v>
      </c>
      <c r="B95" s="24" t="str">
        <f>IFERROR(__xludf.DUMMYFUNCTION("""COMPUTED_VALUE"""),"Souza, Mariana Pinkoski de; Timm , Edgar Zanini; Garin, Norberto da Cunha ")</f>
        <v>Souza, Mariana Pinkoski de; Timm , Edgar Zanini; Garin, Norberto da Cunha </v>
      </c>
      <c r="C95" s="24" t="str">
        <f>IFERROR(__xludf.DUMMYFUNCTION("""COMPUTED_VALUE"""),"Porto Alegre, RS")</f>
        <v>Porto Alegre, RS</v>
      </c>
      <c r="D95" s="24" t="str">
        <f>IFERROR(__xludf.DUMMYFUNCTION("""COMPUTED_VALUE"""),"Editora Universitária Metodista")</f>
        <v>Editora Universitária Metodista</v>
      </c>
      <c r="E95" s="25">
        <f>IFERROR(__xludf.DUMMYFUNCTION("""COMPUTED_VALUE"""),2016.0)</f>
        <v>2016</v>
      </c>
      <c r="F95" s="24" t="str">
        <f>IFERROR(__xludf.DUMMYFUNCTION("""COMPUTED_VALUE"""),"Educação Superior. Deficiência. Inclusão")</f>
        <v>Educação Superior. Deficiência. Inclusão</v>
      </c>
      <c r="G95" s="28" t="str">
        <f>IFERROR(__xludf.DUMMYFUNCTION("""COMPUTED_VALUE"""),"9788599738535")</f>
        <v>9788599738535</v>
      </c>
      <c r="H95" s="29" t="str">
        <f>IFERROR(__xludf.DUMMYFUNCTION("""COMPUTED_VALUE"""),"http://editora.metodista.br/livros-gratis/acoesinclusivasnaacademia1.pdf/at_download/file")</f>
        <v>http://editora.metodista.br/livros-gratis/acoesinclusivasnaacademia1.pdf/at_download/file</v>
      </c>
      <c r="I95" s="24" t="str">
        <f>IFERROR(__xludf.DUMMYFUNCTION("""COMPUTED_VALUE"""),"Ciências Humanas")</f>
        <v>Ciências Humanas</v>
      </c>
    </row>
    <row r="96">
      <c r="A96" s="24" t="str">
        <f>IFERROR(__xludf.DUMMYFUNCTION("""COMPUTED_VALUE"""),"Acreanidade: invenção e reinvenção da identidade acreana")</f>
        <v>Acreanidade: invenção e reinvenção da identidade acreana</v>
      </c>
      <c r="B96" s="24" t="str">
        <f>IFERROR(__xludf.DUMMYFUNCTION("""COMPUTED_VALUE"""),"Maria de Jesus Morais")</f>
        <v>Maria de Jesus Morais</v>
      </c>
      <c r="C96" s="24" t="str">
        <f>IFERROR(__xludf.DUMMYFUNCTION("""COMPUTED_VALUE"""),"Rio Branco")</f>
        <v>Rio Branco</v>
      </c>
      <c r="D96" s="24" t="str">
        <f>IFERROR(__xludf.DUMMYFUNCTION("""COMPUTED_VALUE"""),"Edufac")</f>
        <v>Edufac</v>
      </c>
      <c r="E96" s="25">
        <f>IFERROR(__xludf.DUMMYFUNCTION("""COMPUTED_VALUE"""),2016.0)</f>
        <v>2016</v>
      </c>
      <c r="F96" s="24" t="str">
        <f>IFERROR(__xludf.DUMMYFUNCTION("""COMPUTED_VALUE"""),"Professores – Formação; Currículos; Interdisciplinaridade; Práticas pedagógicas – Estudo e ensino")</f>
        <v>Professores – Formação; Currículos; Interdisciplinaridade; Práticas pedagógicas – Estudo e ensino</v>
      </c>
      <c r="G96" s="28" t="str">
        <f>IFERROR(__xludf.DUMMYFUNCTION("""COMPUTED_VALUE"""),"9788582360378")</f>
        <v>9788582360378</v>
      </c>
      <c r="H96" s="29" t="str">
        <f>IFERROR(__xludf.DUMMYFUNCTION("""COMPUTED_VALUE"""),"http://www2.ufac.br/editora/livros/JESUS_Acreanidade.pdf")</f>
        <v>http://www2.ufac.br/editora/livros/JESUS_Acreanidade.pdf</v>
      </c>
      <c r="I96" s="24" t="str">
        <f>IFERROR(__xludf.DUMMYFUNCTION("""COMPUTED_VALUE"""),"Ciências Humanas")</f>
        <v>Ciências Humanas</v>
      </c>
    </row>
    <row r="97">
      <c r="A97" s="24" t="str">
        <f>IFERROR(__xludf.DUMMYFUNCTION("""COMPUTED_VALUE"""),"Adolescer para a Vida: Diálogos e Vivências")</f>
        <v>Adolescer para a Vida: Diálogos e Vivências</v>
      </c>
      <c r="B97" s="24" t="str">
        <f>IFERROR(__xludf.DUMMYFUNCTION("""COMPUTED_VALUE"""),"Adriana Alves da Silva; Elenilce Gomes de Oliveira; Jerciano Pinheiro Feijó; Myrla Alves de Oliveira; (Organizadores)")</f>
        <v>Adriana Alves da Silva; Elenilce Gomes de Oliveira; Jerciano Pinheiro Feijó; Myrla Alves de Oliveira; (Organizadores)</v>
      </c>
      <c r="C97" s="24" t="str">
        <f>IFERROR(__xludf.DUMMYFUNCTION("""COMPUTED_VALUE"""),"Fortaleza, CE")</f>
        <v>Fortaleza, CE</v>
      </c>
      <c r="D97" s="24" t="str">
        <f>IFERROR(__xludf.DUMMYFUNCTION("""COMPUTED_VALUE"""),"Edições UFC")</f>
        <v>Edições UFC</v>
      </c>
      <c r="E97" s="25">
        <f>IFERROR(__xludf.DUMMYFUNCTION("""COMPUTED_VALUE"""),2019.0)</f>
        <v>2019</v>
      </c>
      <c r="F97" s="24" t="str">
        <f>IFERROR(__xludf.DUMMYFUNCTION("""COMPUTED_VALUE"""),"Adolescentes. Vida saudável. Conflitos. Relatos de experiências")</f>
        <v>Adolescentes. Vida saudável. Conflitos. Relatos de experiências</v>
      </c>
      <c r="G97" s="28" t="str">
        <f>IFERROR(__xludf.DUMMYFUNCTION("""COMPUTED_VALUE"""),"9788572827843")</f>
        <v>9788572827843</v>
      </c>
      <c r="H97" s="29" t="str">
        <f>IFERROR(__xludf.DUMMYFUNCTION("""COMPUTED_VALUE"""),"http://www.editora.ufc.br/catalogo/24-educacao/983-adolescer-para-a-vida-dialogos-e-vivencias")</f>
        <v>http://www.editora.ufc.br/catalogo/24-educacao/983-adolescer-para-a-vida-dialogos-e-vivencias</v>
      </c>
      <c r="I97" s="24" t="str">
        <f>IFERROR(__xludf.DUMMYFUNCTION("""COMPUTED_VALUE"""),"Ciências Humanas")</f>
        <v>Ciências Humanas</v>
      </c>
    </row>
    <row r="98">
      <c r="A98" s="24" t="str">
        <f>IFERROR(__xludf.DUMMYFUNCTION("""COMPUTED_VALUE"""),"ADORNO MATERIAL ENSAIOS DE TEORIA CRÍTICA")</f>
        <v>ADORNO MATERIAL ENSAIOS DE TEORIA CRÍTICA</v>
      </c>
      <c r="B98" s="24" t="str">
        <f>IFERROR(__xludf.DUMMYFUNCTION("""COMPUTED_VALUE"""),"Douglas Garcia Alves Júnior")</f>
        <v>Douglas Garcia Alves Júnior</v>
      </c>
      <c r="C98" s="24" t="str">
        <f>IFERROR(__xludf.DUMMYFUNCTION("""COMPUTED_VALUE"""),"Ouro Preto")</f>
        <v>Ouro Preto</v>
      </c>
      <c r="D98" s="24" t="str">
        <f>IFERROR(__xludf.DUMMYFUNCTION("""COMPUTED_VALUE"""),"UFOP")</f>
        <v>UFOP</v>
      </c>
      <c r="E98" s="25">
        <f>IFERROR(__xludf.DUMMYFUNCTION("""COMPUTED_VALUE"""),2015.0)</f>
        <v>2015</v>
      </c>
      <c r="F98" s="24" t="str">
        <f>IFERROR(__xludf.DUMMYFUNCTION("""COMPUTED_VALUE"""),"Filosofia. Capitalismo. Sociedade de consumo")</f>
        <v>Filosofia. Capitalismo. Sociedade de consumo</v>
      </c>
      <c r="G98" s="28" t="str">
        <f>IFERROR(__xludf.DUMMYFUNCTION("""COMPUTED_VALUE"""),"9788528803419")</f>
        <v>9788528803419</v>
      </c>
      <c r="H98" s="29" t="str">
        <f>IFERROR(__xludf.DUMMYFUNCTION("""COMPUTED_VALUE"""),"https://www.editora.ufop.br/index.php/editora/catalog/view/13/4/20-1")</f>
        <v>https://www.editora.ufop.br/index.php/editora/catalog/view/13/4/20-1</v>
      </c>
      <c r="I98" s="24" t="str">
        <f>IFERROR(__xludf.DUMMYFUNCTION("""COMPUTED_VALUE"""),"Ciências Humanas")</f>
        <v>Ciências Humanas</v>
      </c>
    </row>
    <row r="99">
      <c r="A99" s="24" t="str">
        <f>IFERROR(__xludf.DUMMYFUNCTION("""COMPUTED_VALUE"""),"África passado e presente: II encontro de estudos africanos da UFF ")</f>
        <v>África passado e presente: II encontro de estudos africanos da UFF </v>
      </c>
      <c r="B99" s="24" t="str">
        <f>IFERROR(__xludf.DUMMYFUNCTION("""COMPUTED_VALUE"""),"org. Ribeiro, Alexandre; Gebara, Alexsander; Bittencourt, Marcelo")</f>
        <v>org. Ribeiro, Alexandre; Gebara, Alexsander; Bittencourt, Marcelo</v>
      </c>
      <c r="C99" s="24" t="str">
        <f>IFERROR(__xludf.DUMMYFUNCTION("""COMPUTED_VALUE"""),"Niterói, RJ")</f>
        <v>Niterói, RJ</v>
      </c>
      <c r="D99" s="24" t="str">
        <f>IFERROR(__xludf.DUMMYFUNCTION("""COMPUTED_VALUE"""),"PPGHISTÓRIA-UFF")</f>
        <v>PPGHISTÓRIA-UFF</v>
      </c>
      <c r="E99" s="25">
        <f>IFERROR(__xludf.DUMMYFUNCTION("""COMPUTED_VALUE"""),2010.0)</f>
        <v>2010</v>
      </c>
      <c r="F99" s="24" t="str">
        <f>IFERROR(__xludf.DUMMYFUNCTION("""COMPUTED_VALUE"""),"África")</f>
        <v>África</v>
      </c>
      <c r="G99" s="28" t="str">
        <f>IFERROR(__xludf.DUMMYFUNCTION("""COMPUTED_VALUE"""),"9788563735010")</f>
        <v>9788563735010</v>
      </c>
      <c r="H99" s="29" t="str">
        <f>IFERROR(__xludf.DUMMYFUNCTION("""COMPUTED_VALUE"""),"http://www.eduff.uff.br/ebooks/Africa-passado-e-presente.pdf")</f>
        <v>http://www.eduff.uff.br/ebooks/Africa-passado-e-presente.pdf</v>
      </c>
      <c r="I99" s="24" t="str">
        <f>IFERROR(__xludf.DUMMYFUNCTION("""COMPUTED_VALUE"""),"Ciências Humanas")</f>
        <v>Ciências Humanas</v>
      </c>
    </row>
    <row r="100">
      <c r="A100" s="24" t="str">
        <f>IFERROR(__xludf.DUMMYFUNCTION("""COMPUTED_VALUE"""),"Africanidade(s) e afrodescendência(s): perspectivas para a formação de professores")</f>
        <v>Africanidade(s) e afrodescendência(s): perspectivas para a formação de professores</v>
      </c>
      <c r="B100" s="24" t="str">
        <f>IFERROR(__xludf.DUMMYFUNCTION("""COMPUTED_VALUE"""),"Maria Aparecida Santos Corrêa Barreto, Patrícia Gomes Rufino Andrade, Henrique Antunes Cunha Junior, Alexsandro Rodrigues (org.) ")</f>
        <v>Maria Aparecida Santos Corrêa Barreto, Patrícia Gomes Rufino Andrade, Henrique Antunes Cunha Junior, Alexsandro Rodrigues (org.) </v>
      </c>
      <c r="C100" s="24" t="str">
        <f>IFERROR(__xludf.DUMMYFUNCTION("""COMPUTED_VALUE"""),"Vitória")</f>
        <v>Vitória</v>
      </c>
      <c r="D100" s="24" t="str">
        <f>IFERROR(__xludf.DUMMYFUNCTION("""COMPUTED_VALUE"""),"EDUFES")</f>
        <v>EDUFES</v>
      </c>
      <c r="E100" s="25">
        <f>IFERROR(__xludf.DUMMYFUNCTION("""COMPUTED_VALUE"""),2013.0)</f>
        <v>2013</v>
      </c>
      <c r="F100" s="24" t="str">
        <f>IFERROR(__xludf.DUMMYFUNCTION("""COMPUTED_VALUE"""),"Professores; Negros; Educação inclusiva; Multiculturalismo; Formação de professores")</f>
        <v>Professores; Negros; Educação inclusiva; Multiculturalismo; Formação de professores</v>
      </c>
      <c r="G100" s="28" t="str">
        <f>IFERROR(__xludf.DUMMYFUNCTION("""COMPUTED_VALUE"""),"9788577721535")</f>
        <v>9788577721535</v>
      </c>
      <c r="H100" s="29" t="str">
        <f>IFERROR(__xludf.DUMMYFUNCTION("""COMPUTED_VALUE"""),"http://repositorio.ufes.br/bitstream/10/820/1/livro%20edufes%20Africanidade%28s%29%20e%20afrodescend%C3%AAncia%28s%29%20perspectivas%20para%20a%20forma%C3%A7%C3%A3o%20de%20professores.pdf")</f>
        <v>http://repositorio.ufes.br/bitstream/10/820/1/livro%20edufes%20Africanidade%28s%29%20e%20afrodescend%C3%AAncia%28s%29%20perspectivas%20para%20a%20forma%C3%A7%C3%A3o%20de%20professores.pdf</v>
      </c>
      <c r="I100" s="24" t="str">
        <f>IFERROR(__xludf.DUMMYFUNCTION("""COMPUTED_VALUE"""),"Ciências Humanas")</f>
        <v>Ciências Humanas</v>
      </c>
    </row>
    <row r="101">
      <c r="A101" s="24" t="str">
        <f>IFERROR(__xludf.DUMMYFUNCTION("""COMPUTED_VALUE"""),"Agricultura e sustentabilidade")</f>
        <v>Agricultura e sustentabilidade</v>
      </c>
      <c r="B101" s="24" t="str">
        <f>IFERROR(__xludf.DUMMYFUNCTION("""COMPUTED_VALUE"""),"Dal Soglio, Fabio Kessler; Kubo, Rumi Regina; Neis, Ignacio Antonio; Abreu, Sabrina Pereira de; Rodrigues, Rosany Schwarz ")</f>
        <v>Dal Soglio, Fabio Kessler; Kubo, Rumi Regina; Neis, Ignacio Antonio; Abreu, Sabrina Pereira de; Rodrigues, Rosany Schwarz </v>
      </c>
      <c r="C101" s="24" t="str">
        <f>IFERROR(__xludf.DUMMYFUNCTION("""COMPUTED_VALUE"""),"Porto Alegre")</f>
        <v>Porto Alegre</v>
      </c>
      <c r="D101" s="24" t="str">
        <f>IFERROR(__xludf.DUMMYFUNCTION("""COMPUTED_VALUE"""),"UFRGS")</f>
        <v>UFRGS</v>
      </c>
      <c r="E101" s="25">
        <f>IFERROR(__xludf.DUMMYFUNCTION("""COMPUTED_VALUE"""),2009.0)</f>
        <v>2009</v>
      </c>
      <c r="F101" s="24" t="str">
        <f>IFERROR(__xludf.DUMMYFUNCTION("""COMPUTED_VALUE"""),"Agricultura familiar; Desenvolvimento sustentável; Políticas públicas; Sociologia rural; Sustentabilidade")</f>
        <v>Agricultura familiar; Desenvolvimento sustentável; Políticas públicas; Sociologia rural; Sustentabilidade</v>
      </c>
      <c r="G101" s="28" t="str">
        <f>IFERROR(__xludf.DUMMYFUNCTION("""COMPUTED_VALUE"""),"9788538600749")</f>
        <v>9788538600749</v>
      </c>
      <c r="H101" s="29" t="str">
        <f>IFERROR(__xludf.DUMMYFUNCTION("""COMPUTED_VALUE"""),"http://hdl.handle.net/10183/52807")</f>
        <v>http://hdl.handle.net/10183/52807</v>
      </c>
      <c r="I101" s="24" t="str">
        <f>IFERROR(__xludf.DUMMYFUNCTION("""COMPUTED_VALUE"""),"Ciências Humanas")</f>
        <v>Ciências Humanas</v>
      </c>
    </row>
    <row r="102">
      <c r="A102" s="24" t="str">
        <f>IFERROR(__xludf.DUMMYFUNCTION("""COMPUTED_VALUE"""),"Agroecologia: diversidade, movimento e resistência")</f>
        <v>Agroecologia: diversidade, movimento e resistência</v>
      </c>
      <c r="B102" s="24" t="str">
        <f>IFERROR(__xludf.DUMMYFUNCTION("""COMPUTED_VALUE"""),"Murilo Mendonça Oliveira de Souza (org.)")</f>
        <v>Murilo Mendonça Oliveira de Souza (org.)</v>
      </c>
      <c r="C102" s="24" t="str">
        <f>IFERROR(__xludf.DUMMYFUNCTION("""COMPUTED_VALUE"""),"Anápolis")</f>
        <v>Anápolis</v>
      </c>
      <c r="D102" s="24" t="str">
        <f>IFERROR(__xludf.DUMMYFUNCTION("""COMPUTED_VALUE"""),"UEG")</f>
        <v>UEG</v>
      </c>
      <c r="E102" s="25">
        <f>IFERROR(__xludf.DUMMYFUNCTION("""COMPUTED_VALUE"""),2019.0)</f>
        <v>2019</v>
      </c>
      <c r="F102" s="24" t="str">
        <f>IFERROR(__xludf.DUMMYFUNCTION("""COMPUTED_VALUE"""),"Agroecologia; Povos quilombolas; Políticas de educação agrícola")</f>
        <v>Agroecologia; Povos quilombolas; Políticas de educação agrícola</v>
      </c>
      <c r="G102" s="28" t="str">
        <f>IFERROR(__xludf.DUMMYFUNCTION("""COMPUTED_VALUE"""),"9788555820694")</f>
        <v>9788555820694</v>
      </c>
      <c r="H102" s="29" t="str">
        <f>IFERROR(__xludf.DUMMYFUNCTION("""COMPUTED_VALUE"""),"http://cdn.ueg.edu.br/source/editora_ueg/conteudo_extensao/11249/ebook_2019_agroecologia_diversidade_movimento_resistencia.pdf")</f>
        <v>http://cdn.ueg.edu.br/source/editora_ueg/conteudo_extensao/11249/ebook_2019_agroecologia_diversidade_movimento_resistencia.pdf</v>
      </c>
      <c r="I102" s="24" t="str">
        <f>IFERROR(__xludf.DUMMYFUNCTION("""COMPUTED_VALUE"""),"Ciências Humanas")</f>
        <v>Ciências Humanas</v>
      </c>
    </row>
    <row r="103">
      <c r="A103" s="24" t="str">
        <f>IFERROR(__xludf.DUMMYFUNCTION("""COMPUTED_VALUE"""),"Águas do leste: um olhar sobre terreiros: mapeamento de comunidades religiosas de matriz africana da Bacia do Leste (BA) ")</f>
        <v>Águas do leste: um olhar sobre terreiros: mapeamento de comunidades religiosas de matriz africana da Bacia do Leste (BA) </v>
      </c>
      <c r="B103" s="24" t="str">
        <f>IFERROR(__xludf.DUMMYFUNCTION("""COMPUTED_VALUE"""),"Valéria Amim (org.)")</f>
        <v>Valéria Amim (org.)</v>
      </c>
      <c r="C103" s="24" t="str">
        <f>IFERROR(__xludf.DUMMYFUNCTION("""COMPUTED_VALUE"""),"Ilhéus, BA")</f>
        <v>Ilhéus, BA</v>
      </c>
      <c r="D103" s="24" t="str">
        <f>IFERROR(__xludf.DUMMYFUNCTION("""COMPUTED_VALUE"""),"Editus")</f>
        <v>Editus</v>
      </c>
      <c r="E103" s="25">
        <f>IFERROR(__xludf.DUMMYFUNCTION("""COMPUTED_VALUE"""),2013.0)</f>
        <v>2013</v>
      </c>
      <c r="F103" s="24" t="str">
        <f>IFERROR(__xludf.DUMMYFUNCTION("""COMPUTED_VALUE"""),"Cultos afro-brasileiros – Bahia; Candomblé –; Bahia; Terreiros afro-brasileiros – Bahia")</f>
        <v>Cultos afro-brasileiros – Bahia; Candomblé –; Bahia; Terreiros afro-brasileiros – Bahia</v>
      </c>
      <c r="G103" s="28" t="str">
        <f>IFERROR(__xludf.DUMMYFUNCTION("""COMPUTED_VALUE"""),"9788574553320")</f>
        <v>9788574553320</v>
      </c>
      <c r="H103" s="29" t="str">
        <f>IFERROR(__xludf.DUMMYFUNCTION("""COMPUTED_VALUE"""),"http://www.uesc.br/editora/livrosdigitais2/aguas_do_leste.pdf")</f>
        <v>http://www.uesc.br/editora/livrosdigitais2/aguas_do_leste.pdf</v>
      </c>
      <c r="I103" s="24" t="str">
        <f>IFERROR(__xludf.DUMMYFUNCTION("""COMPUTED_VALUE"""),"Ciências Humanas")</f>
        <v>Ciências Humanas</v>
      </c>
    </row>
    <row r="104">
      <c r="A104" s="24" t="str">
        <f>IFERROR(__xludf.DUMMYFUNCTION("""COMPUTED_VALUE"""),"Alfabetização no Espírito Santo (1946 a 1960)")</f>
        <v>Alfabetização no Espírito Santo (1946 a 1960)</v>
      </c>
      <c r="B104" s="24" t="str">
        <f>IFERROR(__xludf.DUMMYFUNCTION("""COMPUTED_VALUE"""),"Claúdia Maria Mendes Gontijo, Dulcinéa Campos Silva (organizadoras)")</f>
        <v>Claúdia Maria Mendes Gontijo, Dulcinéa Campos Silva (organizadoras)</v>
      </c>
      <c r="C104" s="24" t="str">
        <f>IFERROR(__xludf.DUMMYFUNCTION("""COMPUTED_VALUE"""),"Vitória")</f>
        <v>Vitória</v>
      </c>
      <c r="D104" s="24" t="str">
        <f>IFERROR(__xludf.DUMMYFUNCTION("""COMPUTED_VALUE"""),"EDUFES")</f>
        <v>EDUFES</v>
      </c>
      <c r="E104" s="25">
        <f>IFERROR(__xludf.DUMMYFUNCTION("""COMPUTED_VALUE"""),2014.0)</f>
        <v>2014</v>
      </c>
      <c r="F104" s="24" t="str">
        <f>IFERROR(__xludf.DUMMYFUNCTION("""COMPUTED_VALUE"""),"Alfabetização - Espírito Santo (Estado) - História; Escrita; Leitura; Cartilhas; Livro de Lili")</f>
        <v>Alfabetização - Espírito Santo (Estado) - História; Escrita; Leitura; Cartilhas; Livro de Lili</v>
      </c>
      <c r="G104" s="28" t="str">
        <f>IFERROR(__xludf.DUMMYFUNCTION("""COMPUTED_VALUE"""),"9788577721856")</f>
        <v>9788577721856</v>
      </c>
      <c r="H104" s="29" t="str">
        <f>IFERROR(__xludf.DUMMYFUNCTION("""COMPUTED_VALUE"""),"http://repositorio.ufes.br/bitstream/10/1138/1/Livro%20Edufes%20Alfabetiza%C3%A7%C3%A3o%20no%20Esp%C3%ADrito%20Santo.pdf")</f>
        <v>http://repositorio.ufes.br/bitstream/10/1138/1/Livro%20Edufes%20Alfabetiza%C3%A7%C3%A3o%20no%20Esp%C3%ADrito%20Santo.pdf</v>
      </c>
      <c r="I104" s="24" t="str">
        <f>IFERROR(__xludf.DUMMYFUNCTION("""COMPUTED_VALUE"""),"Ciências Humanas")</f>
        <v>Ciências Humanas</v>
      </c>
    </row>
    <row r="105">
      <c r="A105" s="24" t="str">
        <f>IFERROR(__xludf.DUMMYFUNCTION("""COMPUTED_VALUE"""),"Alguns apontamentos sobre história oral, gênero e história das mulheres")</f>
        <v>Alguns apontamentos sobre história oral, gênero e história das mulheres</v>
      </c>
      <c r="B105" s="24" t="str">
        <f>IFERROR(__xludf.DUMMYFUNCTION("""COMPUTED_VALUE"""),"Losandro Antonio Tedeschi")</f>
        <v>Losandro Antonio Tedeschi</v>
      </c>
      <c r="C105" s="24" t="str">
        <f>IFERROR(__xludf.DUMMYFUNCTION("""COMPUTED_VALUE"""),"Dourados, MS")</f>
        <v>Dourados, MS</v>
      </c>
      <c r="D105" s="24" t="str">
        <f>IFERROR(__xludf.DUMMYFUNCTION("""COMPUTED_VALUE"""),"Ed. UFGD")</f>
        <v>Ed. UFGD</v>
      </c>
      <c r="E105" s="25">
        <f>IFERROR(__xludf.DUMMYFUNCTION("""COMPUTED_VALUE"""),2014.0)</f>
        <v>2014</v>
      </c>
      <c r="F105" s="24" t="str">
        <f>IFERROR(__xludf.DUMMYFUNCTION("""COMPUTED_VALUE"""),"Mulher – Aspectos sociais; Memória feminina; História oral")</f>
        <v>Mulher – Aspectos sociais; Memória feminina; História oral</v>
      </c>
      <c r="G105" s="28" t="str">
        <f>IFERROR(__xludf.DUMMYFUNCTION("""COMPUTED_VALUE"""),"9788581470894")</f>
        <v>9788581470894</v>
      </c>
      <c r="H105" s="29" t="str">
        <f>IFERROR(__xludf.DUMMYFUNCTION("""COMPUTED_VALUE"""),"http://omp.ufgd.edu.br/omp/index.php/livrosabertos/catalog/view/31/37/108-1")</f>
        <v>http://omp.ufgd.edu.br/omp/index.php/livrosabertos/catalog/view/31/37/108-1</v>
      </c>
      <c r="I105" s="24" t="str">
        <f>IFERROR(__xludf.DUMMYFUNCTION("""COMPUTED_VALUE"""),"Ciências Humanas")</f>
        <v>Ciências Humanas</v>
      </c>
    </row>
    <row r="106">
      <c r="A106" s="24" t="str">
        <f>IFERROR(__xludf.DUMMYFUNCTION("""COMPUTED_VALUE"""),"Análise de conflitos e relações de poder em espaços rurais")</f>
        <v>Análise de conflitos e relações de poder em espaços rurais</v>
      </c>
      <c r="B106" s="24" t="str">
        <f>IFERROR(__xludf.DUMMYFUNCTION("""COMPUTED_VALUE"""),"Binkowski, Patrícia ")</f>
        <v>Binkowski, Patrícia </v>
      </c>
      <c r="C106" s="24" t="str">
        <f>IFERROR(__xludf.DUMMYFUNCTION("""COMPUTED_VALUE"""),"Porto Alegre")</f>
        <v>Porto Alegre</v>
      </c>
      <c r="D106" s="24" t="str">
        <f>IFERROR(__xludf.DUMMYFUNCTION("""COMPUTED_VALUE"""),"UFRGS")</f>
        <v>UFRGS</v>
      </c>
      <c r="E106" s="25">
        <f>IFERROR(__xludf.DUMMYFUNCTION("""COMPUTED_VALUE"""),2018.0)</f>
        <v>2018</v>
      </c>
      <c r="F106" s="24" t="str">
        <f>IFERROR(__xludf.DUMMYFUNCTION("""COMPUTED_VALUE"""),"Conflito socioambiental; Desenvolvimento rural; Ecologia social; Espaço rural; Silvicultura; Sociologia rural; Sociologia rural")</f>
        <v>Conflito socioambiental; Desenvolvimento rural; Ecologia social; Espaço rural; Silvicultura; Sociologia rural; Sociologia rural</v>
      </c>
      <c r="G106" s="28" t="str">
        <f>IFERROR(__xludf.DUMMYFUNCTION("""COMPUTED_VALUE"""),"9788538604297(pdf); 9788538604303(epub)")</f>
        <v>9788538604297(pdf); 9788538604303(epub)</v>
      </c>
      <c r="H106" s="29" t="str">
        <f>IFERROR(__xludf.DUMMYFUNCTION("""COMPUTED_VALUE"""),"http://hdl.handle.net/10183/180968")</f>
        <v>http://hdl.handle.net/10183/180968</v>
      </c>
      <c r="I106" s="24" t="str">
        <f>IFERROR(__xludf.DUMMYFUNCTION("""COMPUTED_VALUE"""),"Ciências Humanas")</f>
        <v>Ciências Humanas</v>
      </c>
    </row>
    <row r="107">
      <c r="A107" s="24" t="str">
        <f>IFERROR(__xludf.DUMMYFUNCTION("""COMPUTED_VALUE"""),"Análise de Discurso Crítica e Comunicação: percursos teórico e pragmático de discurso, mídia e política ")</f>
        <v>Análise de Discurso Crítica e Comunicação: percursos teórico e pragmático de discurso, mídia e política </v>
      </c>
      <c r="B107" s="24" t="str">
        <f>IFERROR(__xludf.DUMMYFUNCTION("""COMPUTED_VALUE"""),"Laerte Magalhães")</f>
        <v>Laerte Magalhães</v>
      </c>
      <c r="C107" s="24" t="str">
        <f>IFERROR(__xludf.DUMMYFUNCTION("""COMPUTED_VALUE"""),"Teresina")</f>
        <v>Teresina</v>
      </c>
      <c r="D107" s="24" t="str">
        <f>IFERROR(__xludf.DUMMYFUNCTION("""COMPUTED_VALUE"""),"EDUFPI")</f>
        <v>EDUFPI</v>
      </c>
      <c r="E107" s="25">
        <f>IFERROR(__xludf.DUMMYFUNCTION("""COMPUTED_VALUE"""),2019.0)</f>
        <v>2019</v>
      </c>
      <c r="F107" s="24" t="str">
        <f>IFERROR(__xludf.DUMMYFUNCTION("""COMPUTED_VALUE"""),"Análise de discurso crítica - Comunicação; Análise de; discurso; Comunicação")</f>
        <v>Análise de discurso crítica - Comunicação; Análise de; discurso; Comunicação</v>
      </c>
      <c r="G107" s="28" t="str">
        <f>IFERROR(__xludf.DUMMYFUNCTION("""COMPUTED_VALUE"""),"9788550905037")</f>
        <v>9788550905037</v>
      </c>
      <c r="H107" s="29" t="str">
        <f>IFERROR(__xludf.DUMMYFUNCTION("""COMPUTED_VALUE"""),"https://www.ufpi.br/arquivos_download/arquivos/E-book_-_ANALISE_DE_DISCURSO_b220190903151716.pdf")</f>
        <v>https://www.ufpi.br/arquivos_download/arquivos/E-book_-_ANALISE_DE_DISCURSO_b220190903151716.pdf</v>
      </c>
      <c r="I107" s="24" t="str">
        <f>IFERROR(__xludf.DUMMYFUNCTION("""COMPUTED_VALUE"""),"Ciências Humanas")</f>
        <v>Ciências Humanas</v>
      </c>
    </row>
    <row r="108">
      <c r="A108" s="24" t="str">
        <f>IFERROR(__xludf.DUMMYFUNCTION("""COMPUTED_VALUE"""),"Anápolis, desafios ambientais")</f>
        <v>Anápolis, desafios ambientais</v>
      </c>
      <c r="B108" s="24" t="str">
        <f>IFERROR(__xludf.DUMMYFUNCTION("""COMPUTED_VALUE"""),"Joana D’arc Bardella Castro (org.)")</f>
        <v>Joana D’arc Bardella Castro (org.)</v>
      </c>
      <c r="C108" s="24" t="str">
        <f>IFERROR(__xludf.DUMMYFUNCTION("""COMPUTED_VALUE"""),"Anápolis")</f>
        <v>Anápolis</v>
      </c>
      <c r="D108" s="24" t="str">
        <f>IFERROR(__xludf.DUMMYFUNCTION("""COMPUTED_VALUE"""),"UEG")</f>
        <v>UEG</v>
      </c>
      <c r="E108" s="25">
        <f>IFERROR(__xludf.DUMMYFUNCTION("""COMPUTED_VALUE"""),2016.0)</f>
        <v>2016</v>
      </c>
      <c r="F108" s="24" t="str">
        <f>IFERROR(__xludf.DUMMYFUNCTION("""COMPUTED_VALUE"""),"Meio Ambiente - Sociedade - Anápolis, GO; Educação ambiental; Planejamento urbano - Plano Diretor - Anápolis, GO; Coleta seletiva de lixo - Anápolis, GO")</f>
        <v>Meio Ambiente - Sociedade - Anápolis, GO; Educação ambiental; Planejamento urbano - Plano Diretor - Anápolis, GO; Coleta seletiva de lixo - Anápolis, GO</v>
      </c>
      <c r="G108" s="28" t="str">
        <f>IFERROR(__xludf.DUMMYFUNCTION("""COMPUTED_VALUE"""),"9788555820090")</f>
        <v>9788555820090</v>
      </c>
      <c r="H108" s="29" t="str">
        <f>IFERROR(__xludf.DUMMYFUNCTION("""COMPUTED_VALUE"""),"http://cdn.ueg.edu.br/source/editora_ueg/conteudo_compartilhado/11004/ebook_anapolis_desafios_ambientais_joana_darc.pdf")</f>
        <v>http://cdn.ueg.edu.br/source/editora_ueg/conteudo_compartilhado/11004/ebook_anapolis_desafios_ambientais_joana_darc.pdf</v>
      </c>
      <c r="I108" s="24" t="str">
        <f>IFERROR(__xludf.DUMMYFUNCTION("""COMPUTED_VALUE"""),"Ciências Humanas")</f>
        <v>Ciências Humanas</v>
      </c>
    </row>
    <row r="109">
      <c r="A109" s="24" t="str">
        <f>IFERROR(__xludf.DUMMYFUNCTION("""COMPUTED_VALUE"""),"Angra I e a melancolia de uma era: um estudo sobre a construção social do risco.")</f>
        <v>Angra I e a melancolia de uma era: um estudo sobre a construção social do risco.</v>
      </c>
      <c r="B109" s="24" t="str">
        <f>IFERROR(__xludf.DUMMYFUNCTION("""COMPUTED_VALUE"""),"Gláucia Oliveira da Silva")</f>
        <v>Gláucia Oliveira da Silva</v>
      </c>
      <c r="C109" s="24" t="str">
        <f>IFERROR(__xludf.DUMMYFUNCTION("""COMPUTED_VALUE"""),"Niterói, RJ")</f>
        <v>Niterói, RJ</v>
      </c>
      <c r="D109" s="24" t="str">
        <f>IFERROR(__xludf.DUMMYFUNCTION("""COMPUTED_VALUE"""),"EDUFF")</f>
        <v>EDUFF</v>
      </c>
      <c r="E109" s="25">
        <f>IFERROR(__xludf.DUMMYFUNCTION("""COMPUTED_VALUE"""),1999.0)</f>
        <v>1999</v>
      </c>
      <c r="F109" s="24" t="str">
        <f>IFERROR(__xludf.DUMMYFUNCTION("""COMPUTED_VALUE"""),"Riscos tecnológicos; Meio ambiente")</f>
        <v>Riscos tecnológicos; Meio ambiente</v>
      </c>
      <c r="G109" s="28" t="str">
        <f>IFERROR(__xludf.DUMMYFUNCTION("""COMPUTED_VALUE"""),"8522802807")</f>
        <v>8522802807</v>
      </c>
      <c r="H109" s="29" t="str">
        <f>IFERROR(__xludf.DUMMYFUNCTION("""COMPUTED_VALUE"""),"http://www.eduff.uff.br/ebooks/Angra-I-e-a-melancolia-de-uma-era.pdf")</f>
        <v>http://www.eduff.uff.br/ebooks/Angra-I-e-a-melancolia-de-uma-era.pdf</v>
      </c>
      <c r="I109" s="24" t="str">
        <f>IFERROR(__xludf.DUMMYFUNCTION("""COMPUTED_VALUE"""),"Ciências Humanas")</f>
        <v>Ciências Humanas</v>
      </c>
    </row>
    <row r="110">
      <c r="A110" s="24" t="str">
        <f>IFERROR(__xludf.DUMMYFUNCTION("""COMPUTED_VALUE"""),"Antigos e novos paradigmas: uma abordagem interdisciplinar na construção do conhecimento")</f>
        <v>Antigos e novos paradigmas: uma abordagem interdisciplinar na construção do conhecimento</v>
      </c>
      <c r="B110" s="24" t="str">
        <f>IFERROR(__xludf.DUMMYFUNCTION("""COMPUTED_VALUE"""),"Clemildo Anacleto da Silva; Claiton Prinzo Borges; Jorge Luiz Ayres Gonzaga; João Paulo Rodrigues Aço; Luciene Maldonado; Marilene Santos da Silva; Priscila Vieira Bastos (org.); ")</f>
        <v>Clemildo Anacleto da Silva; Claiton Prinzo Borges; Jorge Luiz Ayres Gonzaga; João Paulo Rodrigues Aço; Luciene Maldonado; Marilene Santos da Silva; Priscila Vieira Bastos (org.); </v>
      </c>
      <c r="C110" s="24" t="str">
        <f>IFERROR(__xludf.DUMMYFUNCTION("""COMPUTED_VALUE"""),"Porto Alegre, RS")</f>
        <v>Porto Alegre, RS</v>
      </c>
      <c r="D110" s="24" t="str">
        <f>IFERROR(__xludf.DUMMYFUNCTION("""COMPUTED_VALUE"""),"Editora Universitária Metodista")</f>
        <v>Editora Universitária Metodista</v>
      </c>
      <c r="E110" s="25">
        <f>IFERROR(__xludf.DUMMYFUNCTION("""COMPUTED_VALUE"""),2016.0)</f>
        <v>2016</v>
      </c>
      <c r="F110" s="24" t="str">
        <f>IFERROR(__xludf.DUMMYFUNCTION("""COMPUTED_VALUE"""),"Educação. Interdisciplinaridades. Formação de Professores")</f>
        <v>Educação. Interdisciplinaridades. Formação de Professores</v>
      </c>
      <c r="G110" s="28" t="str">
        <f>IFERROR(__xludf.DUMMYFUNCTION("""COMPUTED_VALUE"""),"9788599738542")</f>
        <v>9788599738542</v>
      </c>
      <c r="H110" s="29" t="str">
        <f>IFERROR(__xludf.DUMMYFUNCTION("""COMPUTED_VALUE"""),"http://editora.metodista.br/livros-gratis/Antigos%20e%20Novos%20Paradigmas.pdf/at_download/file")</f>
        <v>http://editora.metodista.br/livros-gratis/Antigos%20e%20Novos%20Paradigmas.pdf/at_download/file</v>
      </c>
      <c r="I110" s="24" t="str">
        <f>IFERROR(__xludf.DUMMYFUNCTION("""COMPUTED_VALUE"""),"Ciências Humanas")</f>
        <v>Ciências Humanas</v>
      </c>
    </row>
    <row r="111">
      <c r="A111" s="24" t="str">
        <f>IFERROR(__xludf.DUMMYFUNCTION("""COMPUTED_VALUE"""),"Antonio Vieira dos Santos: reminiscências e outros escritos")</f>
        <v>Antonio Vieira dos Santos: reminiscências e outros escritos</v>
      </c>
      <c r="B111" s="24"/>
      <c r="C111" s="24" t="str">
        <f>IFERROR(__xludf.DUMMYFUNCTION("""COMPUTED_VALUE"""),"Curitiba")</f>
        <v>Curitiba</v>
      </c>
      <c r="D111" s="24" t="str">
        <f>IFERROR(__xludf.DUMMYFUNCTION("""COMPUTED_VALUE"""),"UFPR")</f>
        <v>UFPR</v>
      </c>
      <c r="E111" s="25">
        <f>IFERROR(__xludf.DUMMYFUNCTION("""COMPUTED_VALUE"""),2014.0)</f>
        <v>2014</v>
      </c>
      <c r="F111" s="24" t="str">
        <f>IFERROR(__xludf.DUMMYFUNCTION("""COMPUTED_VALUE"""),"Santos, Antonio Vieira dos, 1784-1853; Biografia")</f>
        <v>Santos, Antonio Vieira dos, 1784-1853; Biografia</v>
      </c>
      <c r="G111" s="26"/>
      <c r="H111" s="29" t="str">
        <f>IFERROR(__xludf.DUMMYFUNCTION("""COMPUTED_VALUE"""),"https://hdl.handle.net/1884/63927")</f>
        <v>https://hdl.handle.net/1884/63927</v>
      </c>
      <c r="I111" s="24" t="str">
        <f>IFERROR(__xludf.DUMMYFUNCTION("""COMPUTED_VALUE"""),"Ciências Humanas")</f>
        <v>Ciências Humanas</v>
      </c>
    </row>
    <row r="112">
      <c r="A112" s="24" t="str">
        <f>IFERROR(__xludf.DUMMYFUNCTION("""COMPUTED_VALUE"""),"Antropologia e comunicação")</f>
        <v>Antropologia e comunicação</v>
      </c>
      <c r="B112" s="24" t="str">
        <f>IFERROR(__xludf.DUMMYFUNCTION("""COMPUTED_VALUE"""),"José Carlos Rodrigues")</f>
        <v>José Carlos Rodrigues</v>
      </c>
      <c r="C112" s="24" t="str">
        <f>IFERROR(__xludf.DUMMYFUNCTION("""COMPUTED_VALUE"""),"Rio de Janeiro")</f>
        <v>Rio de Janeiro</v>
      </c>
      <c r="D112" s="24" t="str">
        <f>IFERROR(__xludf.DUMMYFUNCTION("""COMPUTED_VALUE"""),"Editora PUC Rio")</f>
        <v>Editora PUC Rio</v>
      </c>
      <c r="E112" s="25">
        <f>IFERROR(__xludf.DUMMYFUNCTION("""COMPUTED_VALUE"""),2018.0)</f>
        <v>2018</v>
      </c>
      <c r="F112" s="24" t="str">
        <f>IFERROR(__xludf.DUMMYFUNCTION("""COMPUTED_VALUE"""),"Antropologia")</f>
        <v>Antropologia</v>
      </c>
      <c r="G112" s="28" t="str">
        <f>IFERROR(__xludf.DUMMYFUNCTION("""COMPUTED_VALUE"""),"9788587926302")</f>
        <v>9788587926302</v>
      </c>
      <c r="H112" s="29" t="str">
        <f>IFERROR(__xludf.DUMMYFUNCTION("""COMPUTED_VALUE"""),"http://www.editora.puc-rio.br/media/ebook_antropologia_comunicacao.pdf")</f>
        <v>http://www.editora.puc-rio.br/media/ebook_antropologia_comunicacao.pdf</v>
      </c>
      <c r="I112" s="24" t="str">
        <f>IFERROR(__xludf.DUMMYFUNCTION("""COMPUTED_VALUE"""),"Ciências Humanas")</f>
        <v>Ciências Humanas</v>
      </c>
    </row>
    <row r="113">
      <c r="A113" s="24" t="str">
        <f>IFERROR(__xludf.DUMMYFUNCTION("""COMPUTED_VALUE"""),"Apanhados de outros que vivem em nós: Património cultural alimentar no território dos cânions do sul do Brasil")</f>
        <v>Apanhados de outros que vivem em nós: Património cultural alimentar no território dos cânions do sul do Brasil</v>
      </c>
      <c r="B113" s="24" t="str">
        <f>IFERROR(__xludf.DUMMYFUNCTION("""COMPUTED_VALUE"""),"Jaqueline Posser Gallina")</f>
        <v>Jaqueline Posser Gallina</v>
      </c>
      <c r="C113" s="24" t="str">
        <f>IFERROR(__xludf.DUMMYFUNCTION("""COMPUTED_VALUE"""),"Blumenau")</f>
        <v>Blumenau</v>
      </c>
      <c r="D113" s="24" t="str">
        <f>IFERROR(__xludf.DUMMYFUNCTION("""COMPUTED_VALUE"""),"Instituto Federal Catarinense")</f>
        <v>Instituto Federal Catarinense</v>
      </c>
      <c r="E113" s="25">
        <f>IFERROR(__xludf.DUMMYFUNCTION("""COMPUTED_VALUE"""),2017.0)</f>
        <v>2017</v>
      </c>
      <c r="F113" s="24" t="str">
        <f>IFERROR(__xludf.DUMMYFUNCTION("""COMPUTED_VALUE"""),"Serra Geral (RS e SC) - Aspectos Culturais. Serra Geral (RS e SC) - Culinária. Serra Geral (RS e SC) - Alimentação")</f>
        <v>Serra Geral (RS e SC) - Aspectos Culturais. Serra Geral (RS e SC) - Culinária. Serra Geral (RS e SC) - Alimentação</v>
      </c>
      <c r="G113" s="26"/>
      <c r="H113" s="29" t="str">
        <f>IFERROR(__xludf.DUMMYFUNCTION("""COMPUTED_VALUE"""),"https://editora.ifc.edu.br/2018/11/30/apanhados-de-outros-que-vivem-em-nos-patrimonio-cultural-alimentar-no-territorio-dos-canions-do-sul-do-brasil/")</f>
        <v>https://editora.ifc.edu.br/2018/11/30/apanhados-de-outros-que-vivem-em-nos-patrimonio-cultural-alimentar-no-territorio-dos-canions-do-sul-do-brasil/</v>
      </c>
      <c r="I113" s="24" t="str">
        <f>IFERROR(__xludf.DUMMYFUNCTION("""COMPUTED_VALUE"""),"Ciências Humanas")</f>
        <v>Ciências Humanas</v>
      </c>
    </row>
    <row r="114">
      <c r="A114" s="24" t="str">
        <f>IFERROR(__xludf.DUMMYFUNCTION("""COMPUTED_VALUE"""),"Aplicabilidade da Lei 10.639/2003: relatos de experiências do Curso UNIAFRO/UFRGS")</f>
        <v>Aplicabilidade da Lei 10.639/2003: relatos de experiências do Curso UNIAFRO/UFRGS</v>
      </c>
      <c r="B114" s="24" t="str">
        <f>IFERROR(__xludf.DUMMYFUNCTION("""COMPUTED_VALUE"""),"Kaercher, Gládis Elise Pereira da Silva; Furtado, Tanara Forte ")</f>
        <v>Kaercher, Gládis Elise Pereira da Silva; Furtado, Tanara Forte </v>
      </c>
      <c r="C114" s="24" t="str">
        <f>IFERROR(__xludf.DUMMYFUNCTION("""COMPUTED_VALUE"""),"Porto Alegre")</f>
        <v>Porto Alegre</v>
      </c>
      <c r="D114" s="24" t="str">
        <f>IFERROR(__xludf.DUMMYFUNCTION("""COMPUTED_VALUE"""),"UFRGS")</f>
        <v>UFRGS</v>
      </c>
      <c r="E114" s="25">
        <f>IFERROR(__xludf.DUMMYFUNCTION("""COMPUTED_VALUE"""),2018.0)</f>
        <v>2018</v>
      </c>
      <c r="F114" s="24" t="str">
        <f>IFERROR(__xludf.DUMMYFUNCTION("""COMPUTED_VALUE"""),"Cultura afro-brasileira; Políticas afirmativas")</f>
        <v>Cultura afro-brasileira; Políticas afirmativas</v>
      </c>
      <c r="G114" s="28" t="str">
        <f>IFERROR(__xludf.DUMMYFUNCTION("""COMPUTED_VALUE"""),"9788538604617 (pdf); 	9788538604624 (epub); 	9788538604709 (pdf); 	9788538604716 (epub)")</f>
        <v>9788538604617 (pdf); 	9788538604624 (epub); 	9788538604709 (pdf); 	9788538604716 (epub)</v>
      </c>
      <c r="H114" s="29" t="str">
        <f>IFERROR(__xludf.DUMMYFUNCTION("""COMPUTED_VALUE"""),"http://hdl.handle.net/10183/196171")</f>
        <v>http://hdl.handle.net/10183/196171</v>
      </c>
      <c r="I114" s="24" t="str">
        <f>IFERROR(__xludf.DUMMYFUNCTION("""COMPUTED_VALUE"""),"Ciências Humanas")</f>
        <v>Ciências Humanas</v>
      </c>
    </row>
    <row r="115">
      <c r="A115" s="24" t="str">
        <f>IFERROR(__xludf.DUMMYFUNCTION("""COMPUTED_VALUE"""),"Apoiando a criança na escola: cartilha informativa para pais e professores .")</f>
        <v>Apoiando a criança na escola: cartilha informativa para pais e professores .</v>
      </c>
      <c r="B115" s="24" t="str">
        <f>IFERROR(__xludf.DUMMYFUNCTION("""COMPUTED_VALUE"""),"Elisabete Castelon Konkiewitz")</f>
        <v>Elisabete Castelon Konkiewitz</v>
      </c>
      <c r="C115" s="24" t="str">
        <f>IFERROR(__xludf.DUMMYFUNCTION("""COMPUTED_VALUE"""),"Dourados, MS")</f>
        <v>Dourados, MS</v>
      </c>
      <c r="D115" s="24" t="str">
        <f>IFERROR(__xludf.DUMMYFUNCTION("""COMPUTED_VALUE"""),"Ed. UFGD")</f>
        <v>Ed. UFGD</v>
      </c>
      <c r="E115" s="25">
        <f>IFERROR(__xludf.DUMMYFUNCTION("""COMPUTED_VALUE"""),2010.0)</f>
        <v>2010</v>
      </c>
      <c r="F115" s="24" t="str">
        <f>IFERROR(__xludf.DUMMYFUNCTION("""COMPUTED_VALUE"""),"Distúrbios da aprendizagem; Crianças – Comportamento escolar")</f>
        <v>Distúrbios da aprendizagem; Crianças – Comportamento escolar</v>
      </c>
      <c r="G115" s="26"/>
      <c r="H115" s="29" t="str">
        <f>IFERROR(__xludf.DUMMYFUNCTION("""COMPUTED_VALUE"""),"http://omp.ufgd.edu.br/omp/index.php/livrosabertos/catalog/view/215/137/417-1")</f>
        <v>http://omp.ufgd.edu.br/omp/index.php/livrosabertos/catalog/view/215/137/417-1</v>
      </c>
      <c r="I115" s="24" t="str">
        <f>IFERROR(__xludf.DUMMYFUNCTION("""COMPUTED_VALUE"""),"Ciências Humanas")</f>
        <v>Ciências Humanas</v>
      </c>
    </row>
    <row r="116">
      <c r="A116" s="24" t="str">
        <f>IFERROR(__xludf.DUMMYFUNCTION("""COMPUTED_VALUE"""),"Apolônio, o multiplicador")</f>
        <v>Apolônio, o multiplicador</v>
      </c>
      <c r="B116" s="24" t="str">
        <f>IFERROR(__xludf.DUMMYFUNCTION("""COMPUTED_VALUE"""),"Samuel Mattos, Apolônio Brito")</f>
        <v>Samuel Mattos, Apolônio Brito</v>
      </c>
      <c r="C116" s="24" t="str">
        <f>IFERROR(__xludf.DUMMYFUNCTION("""COMPUTED_VALUE"""),"Ilhéus, BA")</f>
        <v>Ilhéus, BA</v>
      </c>
      <c r="D116" s="24" t="str">
        <f>IFERROR(__xludf.DUMMYFUNCTION("""COMPUTED_VALUE"""),"Editus")</f>
        <v>Editus</v>
      </c>
      <c r="E116" s="25">
        <f>IFERROR(__xludf.DUMMYFUNCTION("""COMPUTED_VALUE"""),2012.0)</f>
        <v>2012</v>
      </c>
      <c r="F116" s="24" t="str">
        <f>IFERROR(__xludf.DUMMYFUNCTION("""COMPUTED_VALUE"""),"Brito, Apolônio, 1919-; Biografia como forma; literária; Autobiografia")</f>
        <v>Brito, Apolônio, 1919-; Biografia como forma; literária; Autobiografia</v>
      </c>
      <c r="G116" s="28" t="str">
        <f>IFERROR(__xludf.DUMMYFUNCTION("""COMPUTED_VALUE"""),"9788574552873")</f>
        <v>9788574552873</v>
      </c>
      <c r="H116" s="29" t="str">
        <f>IFERROR(__xludf.DUMMYFUNCTION("""COMPUTED_VALUE"""),"http://www.uesc.br/editora/livrosdigitais2015/apolo_nio.pdf")</f>
        <v>http://www.uesc.br/editora/livrosdigitais2015/apolo_nio.pdf</v>
      </c>
      <c r="I116" s="24" t="str">
        <f>IFERROR(__xludf.DUMMYFUNCTION("""COMPUTED_VALUE"""),"Ciências Humanas")</f>
        <v>Ciências Humanas</v>
      </c>
    </row>
    <row r="117">
      <c r="A117" s="24" t="str">
        <f>IFERROR(__xludf.DUMMYFUNCTION("""COMPUTED_VALUE"""),"Aportes pedagógicos na modalidade a distância do ensino superior")</f>
        <v>Aportes pedagógicos na modalidade a distância do ensino superior</v>
      </c>
      <c r="B117" s="24" t="str">
        <f>IFERROR(__xludf.DUMMYFUNCTION("""COMPUTED_VALUE"""),"Patrícia Aparecida Pedroso; ")</f>
        <v>Patrícia Aparecida Pedroso; </v>
      </c>
      <c r="C117" s="24" t="str">
        <f>IFERROR(__xludf.DUMMYFUNCTION("""COMPUTED_VALUE"""),"Joaçaba")</f>
        <v>Joaçaba</v>
      </c>
      <c r="D117" s="24" t="str">
        <f>IFERROR(__xludf.DUMMYFUNCTION("""COMPUTED_VALUE"""),"Unoesc")</f>
        <v>Unoesc</v>
      </c>
      <c r="E117" s="25">
        <f>IFERROR(__xludf.DUMMYFUNCTION("""COMPUTED_VALUE"""),2020.0)</f>
        <v>2020</v>
      </c>
      <c r="F117" s="24" t="str">
        <f>IFERROR(__xludf.DUMMYFUNCTION("""COMPUTED_VALUE"""),"Ensino superior Ensino a distância Estudantes universitários")</f>
        <v>Ensino superior Ensino a distância Estudantes universitários</v>
      </c>
      <c r="G117" s="28" t="str">
        <f>IFERROR(__xludf.DUMMYFUNCTION("""COMPUTED_VALUE"""),"9786586158212")</f>
        <v>9786586158212</v>
      </c>
      <c r="H117" s="29" t="str">
        <f>IFERROR(__xludf.DUMMYFUNCTION("""COMPUTED_VALUE"""),"https://www.unoesc.edu.br/images/uploads/editora/Aportes_pedagógicos_na_modalidade_a_distância_do_ensino_superior.pdf")</f>
        <v>https://www.unoesc.edu.br/images/uploads/editora/Aportes_pedagógicos_na_modalidade_a_distância_do_ensino_superior.pdf</v>
      </c>
      <c r="I117" s="24" t="str">
        <f>IFERROR(__xludf.DUMMYFUNCTION("""COMPUTED_VALUE"""),"Ciências Humanas")</f>
        <v>Ciências Humanas</v>
      </c>
    </row>
    <row r="118">
      <c r="A118" s="24" t="str">
        <f>IFERROR(__xludf.DUMMYFUNCTION("""COMPUTED_VALUE"""),"Aprendizados ao longo da vida: sujeitos, políticas e processos")</f>
        <v>Aprendizados ao longo da vida: sujeitos, políticas e processos</v>
      </c>
      <c r="B118" s="24" t="str">
        <f>IFERROR(__xludf.DUMMYFUNCTION("""COMPUTED_VALUE"""),"Jane Paiva (organização)")</f>
        <v>Jane Paiva (organização)</v>
      </c>
      <c r="C118" s="24" t="str">
        <f>IFERROR(__xludf.DUMMYFUNCTION("""COMPUTED_VALUE"""),"Rio de Janeiro")</f>
        <v>Rio de Janeiro</v>
      </c>
      <c r="D118" s="24" t="str">
        <f>IFERROR(__xludf.DUMMYFUNCTION("""COMPUTED_VALUE"""),"EdUERJ")</f>
        <v>EdUERJ</v>
      </c>
      <c r="E118" s="25">
        <f>IFERROR(__xludf.DUMMYFUNCTION("""COMPUTED_VALUE"""),2019.0)</f>
        <v>2019</v>
      </c>
      <c r="F118" s="24" t="str">
        <f>IFERROR(__xludf.DUMMYFUNCTION("""COMPUTED_VALUE"""),"Educação; Aprendizado; Processos educativos")</f>
        <v>Educação; Aprendizado; Processos educativos</v>
      </c>
      <c r="G118" s="28" t="str">
        <f>IFERROR(__xludf.DUMMYFUNCTION("""COMPUTED_VALUE"""),"9788575114902")</f>
        <v>9788575114902</v>
      </c>
      <c r="H118" s="29" t="str">
        <f>IFERROR(__xludf.DUMMYFUNCTION("""COMPUTED_VALUE"""),"https://www.eduerj.com/eng/?product=aprendizados-ao-longo-da-vida-sujeitos-politicas-e-processos-ebook")</f>
        <v>https://www.eduerj.com/eng/?product=aprendizados-ao-longo-da-vida-sujeitos-politicas-e-processos-ebook</v>
      </c>
      <c r="I118" s="24" t="str">
        <f>IFERROR(__xludf.DUMMYFUNCTION("""COMPUTED_VALUE"""),"Ciências Humanas")</f>
        <v>Ciências Humanas</v>
      </c>
    </row>
    <row r="119">
      <c r="A119" s="24" t="str">
        <f>IFERROR(__xludf.DUMMYFUNCTION("""COMPUTED_VALUE"""),"Aprendizados ao longo da vida: sujeitos, políticas e processos educativos")</f>
        <v>Aprendizados ao longo da vida: sujeitos, políticas e processos educativos</v>
      </c>
      <c r="B119" s="24" t="str">
        <f>IFERROR(__xludf.DUMMYFUNCTION("""COMPUTED_VALUE"""),"organização Jane Paiva")</f>
        <v>organização Jane Paiva</v>
      </c>
      <c r="C119" s="24" t="str">
        <f>IFERROR(__xludf.DUMMYFUNCTION("""COMPUTED_VALUE"""),"Rio de Janeiro, RJ")</f>
        <v>Rio de Janeiro, RJ</v>
      </c>
      <c r="D119" s="24" t="str">
        <f>IFERROR(__xludf.DUMMYFUNCTION("""COMPUTED_VALUE"""),"EdUERJ")</f>
        <v>EdUERJ</v>
      </c>
      <c r="E119" s="25">
        <f>IFERROR(__xludf.DUMMYFUNCTION("""COMPUTED_VALUE"""),2019.0)</f>
        <v>2019</v>
      </c>
      <c r="F119" s="24" t="str">
        <f>IFERROR(__xludf.DUMMYFUNCTION("""COMPUTED_VALUE"""),"Educação")</f>
        <v>Educação</v>
      </c>
      <c r="G119" s="28" t="str">
        <f>IFERROR(__xludf.DUMMYFUNCTION("""COMPUTED_VALUE"""),"9788575114902")</f>
        <v>9788575114902</v>
      </c>
      <c r="H119" s="29" t="str">
        <f>IFERROR(__xludf.DUMMYFUNCTION("""COMPUTED_VALUE"""),"http://books.scielo.org/id/g8qcy/pdf/paiva-9786599036491.pdf")</f>
        <v>http://books.scielo.org/id/g8qcy/pdf/paiva-9786599036491.pdf</v>
      </c>
      <c r="I119" s="24" t="str">
        <f>IFERROR(__xludf.DUMMYFUNCTION("""COMPUTED_VALUE"""),"Ciências Humanas")</f>
        <v>Ciências Humanas</v>
      </c>
    </row>
    <row r="120">
      <c r="A120" s="24" t="str">
        <f>IFERROR(__xludf.DUMMYFUNCTION("""COMPUTED_VALUE"""),"Aprendizagem, comportamento e emoções na infância e adolescência: uma visão transdisciplinar")</f>
        <v>Aprendizagem, comportamento e emoções na infância e adolescência: uma visão transdisciplinar</v>
      </c>
      <c r="B120" s="24" t="str">
        <f>IFERROR(__xludf.DUMMYFUNCTION("""COMPUTED_VALUE"""),"Elisabete Castelon Konkiewitz")</f>
        <v>Elisabete Castelon Konkiewitz</v>
      </c>
      <c r="C120" s="24" t="str">
        <f>IFERROR(__xludf.DUMMYFUNCTION("""COMPUTED_VALUE"""),"Dourados, MS")</f>
        <v>Dourados, MS</v>
      </c>
      <c r="D120" s="24" t="str">
        <f>IFERROR(__xludf.DUMMYFUNCTION("""COMPUTED_VALUE"""),"Ed. UFGD")</f>
        <v>Ed. UFGD</v>
      </c>
      <c r="E120" s="25">
        <f>IFERROR(__xludf.DUMMYFUNCTION("""COMPUTED_VALUE"""),2013.0)</f>
        <v>2013</v>
      </c>
      <c r="F120" s="24" t="str">
        <f>IFERROR(__xludf.DUMMYFUNCTION("""COMPUTED_VALUE"""),"Transtornos na aprendizagem; Aprendizagem escolar – Diiculdades; Crianças")</f>
        <v>Transtornos na aprendizagem; Aprendizagem escolar – Diiculdades; Crianças</v>
      </c>
      <c r="G120" s="28" t="str">
        <f>IFERROR(__xludf.DUMMYFUNCTION("""COMPUTED_VALUE"""),"9788581470467")</f>
        <v>9788581470467</v>
      </c>
      <c r="H120" s="29" t="str">
        <f>IFERROR(__xludf.DUMMYFUNCTION("""COMPUTED_VALUE"""),"http://omp.ufgd.edu.br/omp/index.php/livrosabertos/catalog/view/34/25/84-1")</f>
        <v>http://omp.ufgd.edu.br/omp/index.php/livrosabertos/catalog/view/34/25/84-1</v>
      </c>
      <c r="I120" s="24" t="str">
        <f>IFERROR(__xludf.DUMMYFUNCTION("""COMPUTED_VALUE"""),"Ciências Humanas")</f>
        <v>Ciências Humanas</v>
      </c>
    </row>
    <row r="121">
      <c r="A121" s="24" t="str">
        <f>IFERROR(__xludf.DUMMYFUNCTION("""COMPUTED_VALUE"""),"Apropriação capitalista da terra e a desconcentração fundiária em Jales–SP.")</f>
        <v>Apropriação capitalista da terra e a desconcentração fundiária em Jales–SP.</v>
      </c>
      <c r="B121" s="24" t="str">
        <f>IFERROR(__xludf.DUMMYFUNCTION("""COMPUTED_VALUE"""),"Sedeval Nardoque")</f>
        <v>Sedeval Nardoque</v>
      </c>
      <c r="C121" s="24" t="str">
        <f>IFERROR(__xludf.DUMMYFUNCTION("""COMPUTED_VALUE"""),"Dourados, MS")</f>
        <v>Dourados, MS</v>
      </c>
      <c r="D121" s="24" t="str">
        <f>IFERROR(__xludf.DUMMYFUNCTION("""COMPUTED_VALUE"""),"Ed. UFGD")</f>
        <v>Ed. UFGD</v>
      </c>
      <c r="E121" s="25">
        <f>IFERROR(__xludf.DUMMYFUNCTION("""COMPUTED_VALUE"""),2014.0)</f>
        <v>2014</v>
      </c>
      <c r="F121" s="24" t="str">
        <f>IFERROR(__xludf.DUMMYFUNCTION("""COMPUTED_VALUE"""),"Conflito fundiário – Jales-SP; Pequena propriedade; Frente de expansão")</f>
        <v>Conflito fundiário – Jales-SP; Pequena propriedade; Frente de expansão</v>
      </c>
      <c r="G121" s="28" t="str">
        <f>IFERROR(__xludf.DUMMYFUNCTION("""COMPUTED_VALUE"""),"9788581470863")</f>
        <v>9788581470863</v>
      </c>
      <c r="H121" s="29" t="str">
        <f>IFERROR(__xludf.DUMMYFUNCTION("""COMPUTED_VALUE"""),"http://omp.ufgd.edu.br/omp/index.php/livrosabertos/catalog/view/35/24/83-1")</f>
        <v>http://omp.ufgd.edu.br/omp/index.php/livrosabertos/catalog/view/35/24/83-1</v>
      </c>
      <c r="I121" s="24" t="str">
        <f>IFERROR(__xludf.DUMMYFUNCTION("""COMPUTED_VALUE"""),"Ciências Humanas")</f>
        <v>Ciências Humanas</v>
      </c>
    </row>
    <row r="122">
      <c r="A122" s="24" t="str">
        <f>IFERROR(__xludf.DUMMYFUNCTION("""COMPUTED_VALUE"""),"Aquidauana: a baioneta, a toga e a utopia, nos entremeios de uma pretensa revolução .")</f>
        <v>Aquidauana: a baioneta, a toga e a utopia, nos entremeios de uma pretensa revolução .</v>
      </c>
      <c r="B122" s="24" t="str">
        <f>IFERROR(__xludf.DUMMYFUNCTION("""COMPUTED_VALUE"""),"Eudes Fernando Leite")</f>
        <v>Eudes Fernando Leite</v>
      </c>
      <c r="C122" s="24" t="str">
        <f>IFERROR(__xludf.DUMMYFUNCTION("""COMPUTED_VALUE"""),"Dourados, MS")</f>
        <v>Dourados, MS</v>
      </c>
      <c r="D122" s="24" t="str">
        <f>IFERROR(__xludf.DUMMYFUNCTION("""COMPUTED_VALUE"""),"Ed. UFGD")</f>
        <v>Ed. UFGD</v>
      </c>
      <c r="E122" s="25">
        <f>IFERROR(__xludf.DUMMYFUNCTION("""COMPUTED_VALUE"""),2009.0)</f>
        <v>2009</v>
      </c>
      <c r="F122" s="24" t="str">
        <f>IFERROR(__xludf.DUMMYFUNCTION("""COMPUTED_VALUE"""),"Golpe militar, 1964 - Brasil – História; Brasil – Política e Governo, 1964; Aquidauana, MS – História; Perseguição política")</f>
        <v>Golpe militar, 1964 - Brasil – História; Brasil – Política e Governo, 1964; Aquidauana, MS – História; Perseguição política</v>
      </c>
      <c r="G122" s="28" t="str">
        <f>IFERROR(__xludf.DUMMYFUNCTION("""COMPUTED_VALUE"""),"9788561228286")</f>
        <v>9788561228286</v>
      </c>
      <c r="H122" s="29" t="str">
        <f>IFERROR(__xludf.DUMMYFUNCTION("""COMPUTED_VALUE"""),"http://omp.ufgd.edu.br/omp/index.php/livrosabertos/catalog/view/3/45/118-2")</f>
        <v>http://omp.ufgd.edu.br/omp/index.php/livrosabertos/catalog/view/3/45/118-2</v>
      </c>
      <c r="I122" s="24" t="str">
        <f>IFERROR(__xludf.DUMMYFUNCTION("""COMPUTED_VALUE"""),"Ciências Humanas")</f>
        <v>Ciências Humanas</v>
      </c>
    </row>
    <row r="123">
      <c r="A123" s="24" t="str">
        <f>IFERROR(__xludf.DUMMYFUNCTION("""COMPUTED_VALUE"""),"Arqueologia da religião: método e interpretação do produto artístico da religião ")</f>
        <v>Arqueologia da religião: método e interpretação do produto artístico da religião </v>
      </c>
      <c r="B123" s="24" t="str">
        <f>IFERROR(__xludf.DUMMYFUNCTION("""COMPUTED_VALUE"""),"FILIPE GUIMARÃES (org.); ")</f>
        <v>FILIPE GUIMARÃES (org.); </v>
      </c>
      <c r="C123" s="24" t="str">
        <f>IFERROR(__xludf.DUMMYFUNCTION("""COMPUTED_VALUE"""),"Macapá")</f>
        <v>Macapá</v>
      </c>
      <c r="D123" s="24" t="str">
        <f>IFERROR(__xludf.DUMMYFUNCTION("""COMPUTED_VALUE"""),"UNIFAP")</f>
        <v>UNIFAP</v>
      </c>
      <c r="E123" s="25">
        <f>IFERROR(__xludf.DUMMYFUNCTION("""COMPUTED_VALUE"""),2018.0)</f>
        <v>2018</v>
      </c>
      <c r="F123" s="24" t="str">
        <f>IFERROR(__xludf.DUMMYFUNCTION("""COMPUTED_VALUE"""),"Religião; Cristianismo; Arqueologia")</f>
        <v>Religião; Cristianismo; Arqueologia</v>
      </c>
      <c r="G123" s="28" t="str">
        <f>IFERROR(__xludf.DUMMYFUNCTION("""COMPUTED_VALUE"""),"9788554760366")</f>
        <v>9788554760366</v>
      </c>
      <c r="H123" s="29" t="str">
        <f>IFERROR(__xludf.DUMMYFUNCTION("""COMPUTED_VALUE"""),"https://www2.unifap.br/editora/files/2019/07/arqueologia-da-religiao.pdf")</f>
        <v>https://www2.unifap.br/editora/files/2019/07/arqueologia-da-religiao.pdf</v>
      </c>
      <c r="I123" s="24" t="str">
        <f>IFERROR(__xludf.DUMMYFUNCTION("""COMPUTED_VALUE"""),"Ciências Humanas")</f>
        <v>Ciências Humanas</v>
      </c>
    </row>
    <row r="124">
      <c r="A124" s="24" t="str">
        <f>IFERROR(__xludf.DUMMYFUNCTION("""COMPUTED_VALUE"""),"Arqueologia pantaneira: história e historiograia (1875-2000).")</f>
        <v>Arqueologia pantaneira: história e historiograia (1875-2000).</v>
      </c>
      <c r="B124" s="24" t="str">
        <f>IFERROR(__xludf.DUMMYFUNCTION("""COMPUTED_VALUE"""),"Jorge Eremites de Oliveira")</f>
        <v>Jorge Eremites de Oliveira</v>
      </c>
      <c r="C124" s="24" t="str">
        <f>IFERROR(__xludf.DUMMYFUNCTION("""COMPUTED_VALUE"""),"Dourados, MS")</f>
        <v>Dourados, MS</v>
      </c>
      <c r="D124" s="24" t="str">
        <f>IFERROR(__xludf.DUMMYFUNCTION("""COMPUTED_VALUE"""),"Ed. UFGD")</f>
        <v>Ed. UFGD</v>
      </c>
      <c r="E124" s="25">
        <f>IFERROR(__xludf.DUMMYFUNCTION("""COMPUTED_VALUE"""),2008.0)</f>
        <v>2008</v>
      </c>
      <c r="F124" s="24" t="str">
        <f>IFERROR(__xludf.DUMMYFUNCTION("""COMPUTED_VALUE"""),"Índios da América do Sul, Brasil – Pantanal Mato-grossense (MT e MS) – Historiograia; Pantanal Mato-grossense (MT e MS) – Antiguidades")</f>
        <v>Índios da América do Sul, Brasil – Pantanal Mato-grossense (MT e MS) – Historiograia; Pantanal Mato-grossense (MT e MS) – Antiguidades</v>
      </c>
      <c r="G124" s="28" t="str">
        <f>IFERROR(__xludf.DUMMYFUNCTION("""COMPUTED_VALUE"""),"9788561228095")</f>
        <v>9788561228095</v>
      </c>
      <c r="H124" s="29" t="str">
        <f>IFERROR(__xludf.DUMMYFUNCTION("""COMPUTED_VALUE"""),"http://omp.ufgd.edu.br/omp/index.php/livrosabertos/catalog/view/5/46/122-1")</f>
        <v>http://omp.ufgd.edu.br/omp/index.php/livrosabertos/catalog/view/5/46/122-1</v>
      </c>
      <c r="I124" s="24" t="str">
        <f>IFERROR(__xludf.DUMMYFUNCTION("""COMPUTED_VALUE"""),"Ciências Humanas")</f>
        <v>Ciências Humanas</v>
      </c>
    </row>
    <row r="125">
      <c r="A125" s="24" t="str">
        <f>IFERROR(__xludf.DUMMYFUNCTION("""COMPUTED_VALUE"""),"Arquivo 37: a história das monjas beneditinas no Brasil ")</f>
        <v>Arquivo 37: a história das monjas beneditinas no Brasil </v>
      </c>
      <c r="B125" s="24" t="str">
        <f>IFERROR(__xludf.DUMMYFUNCTION("""COMPUTED_VALUE"""),"Vanilda Salignac de Souza Mazzoni")</f>
        <v>Vanilda Salignac de Souza Mazzoni</v>
      </c>
      <c r="C125" s="24" t="str">
        <f>IFERROR(__xludf.DUMMYFUNCTION("""COMPUTED_VALUE"""),"Ilhéus, BA")</f>
        <v>Ilhéus, BA</v>
      </c>
      <c r="D125" s="24" t="str">
        <f>IFERROR(__xludf.DUMMYFUNCTION("""COMPUTED_VALUE"""),"Editus")</f>
        <v>Editus</v>
      </c>
      <c r="E125" s="25">
        <f>IFERROR(__xludf.DUMMYFUNCTION("""COMPUTED_VALUE"""),2009.0)</f>
        <v>2009</v>
      </c>
      <c r="F125" s="24" t="str">
        <f>IFERROR(__xludf.DUMMYFUNCTION("""COMPUTED_VALUE"""),"Ordens monásticas e religiosas para mulheres – Brasil -; História; Mosteiros – Brasil – História; Beneditinas")</f>
        <v>Ordens monásticas e religiosas para mulheres – Brasil -; História; Mosteiros – Brasil – História; Beneditinas</v>
      </c>
      <c r="G125" s="26"/>
      <c r="H125" s="29" t="str">
        <f>IFERROR(__xludf.DUMMYFUNCTION("""COMPUTED_VALUE"""),"http://www.uesc.br/editora/livrosdigitais2015/arquivo_37.pdf")</f>
        <v>http://www.uesc.br/editora/livrosdigitais2015/arquivo_37.pdf</v>
      </c>
      <c r="I125" s="24" t="str">
        <f>IFERROR(__xludf.DUMMYFUNCTION("""COMPUTED_VALUE"""),"Ciências Humanas")</f>
        <v>Ciências Humanas</v>
      </c>
    </row>
    <row r="126">
      <c r="A126" s="24" t="str">
        <f>IFERROR(__xludf.DUMMYFUNCTION("""COMPUTED_VALUE"""),"Arquivologia, Biblioteconomia e Ciência da Informação: identidades, contrastes e perspectivas de interlocução")</f>
        <v>Arquivologia, Biblioteconomia e Ciência da Informação: identidades, contrastes e perspectivas de interlocução</v>
      </c>
      <c r="B126" s="24" t="str">
        <f>IFERROR(__xludf.DUMMYFUNCTION("""COMPUTED_VALUE"""),"Eduardo Ismael Murguia, Mara Eliane Fonseca Rodrigues (org.)")</f>
        <v>Eduardo Ismael Murguia, Mara Eliane Fonseca Rodrigues (org.)</v>
      </c>
      <c r="C126" s="24" t="str">
        <f>IFERROR(__xludf.DUMMYFUNCTION("""COMPUTED_VALUE"""),"Niterói, RJ")</f>
        <v>Niterói, RJ</v>
      </c>
      <c r="D126" s="24" t="str">
        <f>IFERROR(__xludf.DUMMYFUNCTION("""COMPUTED_VALUE"""),"EDUFF")</f>
        <v>EDUFF</v>
      </c>
      <c r="E126" s="25">
        <f>IFERROR(__xludf.DUMMYFUNCTION("""COMPUTED_VALUE"""),2012.0)</f>
        <v>2012</v>
      </c>
      <c r="F126" s="24" t="str">
        <f>IFERROR(__xludf.DUMMYFUNCTION("""COMPUTED_VALUE"""),"Estudo comparado; Interdisciplinaridade")</f>
        <v>Estudo comparado; Interdisciplinaridade</v>
      </c>
      <c r="G126" s="28" t="str">
        <f>IFERROR(__xludf.DUMMYFUNCTION("""COMPUTED_VALUE"""),"9788522808816")</f>
        <v>9788522808816</v>
      </c>
      <c r="H126" s="29" t="str">
        <f>IFERROR(__xludf.DUMMYFUNCTION("""COMPUTED_VALUE"""),"https://bit.ly/Arquivologia-biblioteconomia-e-ciencia-da-informacao-2")</f>
        <v>https://bit.ly/Arquivologia-biblioteconomia-e-ciencia-da-informacao-2</v>
      </c>
      <c r="I126" s="24" t="str">
        <f>IFERROR(__xludf.DUMMYFUNCTION("""COMPUTED_VALUE"""),"Ciências Humanas")</f>
        <v>Ciências Humanas</v>
      </c>
    </row>
    <row r="127">
      <c r="A127" s="24" t="str">
        <f>IFERROR(__xludf.DUMMYFUNCTION("""COMPUTED_VALUE"""),"Arquivos pessoais e cultura: uma abordagem interdisciplinar")</f>
        <v>Arquivos pessoais e cultura: uma abordagem interdisciplinar</v>
      </c>
      <c r="B127" s="24" t="str">
        <f>IFERROR(__xludf.DUMMYFUNCTION("""COMPUTED_VALUE"""),"Organização; Lucia Maria Velloso de Oliveira; Eliane Vasconcellos")</f>
        <v>Organização; Lucia Maria Velloso de Oliveira; Eliane Vasconcellos</v>
      </c>
      <c r="C127" s="24" t="str">
        <f>IFERROR(__xludf.DUMMYFUNCTION("""COMPUTED_VALUE"""),"Rio de Janeiro")</f>
        <v>Rio de Janeiro</v>
      </c>
      <c r="D127" s="24" t="str">
        <f>IFERROR(__xludf.DUMMYFUNCTION("""COMPUTED_VALUE"""),"Fundação Casa de Rui Barbosa")</f>
        <v>Fundação Casa de Rui Barbosa</v>
      </c>
      <c r="E127" s="25">
        <f>IFERROR(__xludf.DUMMYFUNCTION("""COMPUTED_VALUE"""),2015.0)</f>
        <v>2015</v>
      </c>
      <c r="F127" s="24" t="str">
        <f>IFERROR(__xludf.DUMMYFUNCTION("""COMPUTED_VALUE"""),"Arquivo. Arquivo Pessoal. Preservação de arquivos. Organização de arquivos")</f>
        <v>Arquivo. Arquivo Pessoal. Preservação de arquivos. Organização de arquivos</v>
      </c>
      <c r="G127" s="28" t="str">
        <f>IFERROR(__xludf.DUMMYFUNCTION("""COMPUTED_VALUE"""),"9788570043313")</f>
        <v>9788570043313</v>
      </c>
      <c r="H127" s="29" t="str">
        <f>IFERROR(__xludf.DUMMYFUNCTION("""COMPUTED_VALUE"""),"http://www.casaruibarbosa.gov.br/arquivos/file/Arquivos%20pessoais%20e%20cultura%20OCR.pdf")</f>
        <v>http://www.casaruibarbosa.gov.br/arquivos/file/Arquivos%20pessoais%20e%20cultura%20OCR.pdf</v>
      </c>
      <c r="I127" s="24" t="str">
        <f>IFERROR(__xludf.DUMMYFUNCTION("""COMPUTED_VALUE"""),"Ciências Humanas")</f>
        <v>Ciências Humanas</v>
      </c>
    </row>
    <row r="128">
      <c r="A128" s="24" t="str">
        <f>IFERROR(__xludf.DUMMYFUNCTION("""COMPUTED_VALUE"""),"Arte e natureza")</f>
        <v>Arte e natureza</v>
      </c>
      <c r="B128" s="37" t="str">
        <f>IFERROR(__xludf.DUMMYFUNCTION("""COMPUTED_VALUE"""),"Adriana Ítalo")</f>
        <v>Adriana Ítalo</v>
      </c>
      <c r="C128" s="24" t="str">
        <f>IFERROR(__xludf.DUMMYFUNCTION("""COMPUTED_VALUE"""),"Rio de Janeiro")</f>
        <v>Rio de Janeiro</v>
      </c>
      <c r="D128" s="24" t="str">
        <f>IFERROR(__xludf.DUMMYFUNCTION("""COMPUTED_VALUE"""),"Editora PUC Rio")</f>
        <v>Editora PUC Rio</v>
      </c>
      <c r="E128" s="25">
        <f>IFERROR(__xludf.DUMMYFUNCTION("""COMPUTED_VALUE"""),2015.0)</f>
        <v>2015</v>
      </c>
      <c r="F128" s="24" t="str">
        <f>IFERROR(__xludf.DUMMYFUNCTION("""COMPUTED_VALUE"""),"Arte. Natureza. Filosofia")</f>
        <v>Arte. Natureza. Filosofia</v>
      </c>
      <c r="G128" s="26"/>
      <c r="H128" s="29" t="str">
        <f>IFERROR(__xludf.DUMMYFUNCTION("""COMPUTED_VALUE"""),"http://www.editora.puc-rio.br/media/ebookartenatureza.pdf")</f>
        <v>http://www.editora.puc-rio.br/media/ebookartenatureza.pdf</v>
      </c>
      <c r="I128" s="24" t="str">
        <f>IFERROR(__xludf.DUMMYFUNCTION("""COMPUTED_VALUE"""),"Ciências Humanas")</f>
        <v>Ciências Humanas</v>
      </c>
    </row>
    <row r="129">
      <c r="A129" s="24" t="str">
        <f>IFERROR(__xludf.DUMMYFUNCTION("""COMPUTED_VALUE"""),"Artes de Civilizar: medicina, higiene e educação escolar na Corte Imperial")</f>
        <v>Artes de Civilizar: medicina, higiene e educação escolar na Corte Imperial</v>
      </c>
      <c r="B129" s="24" t="str">
        <f>IFERROR(__xludf.DUMMYFUNCTION("""COMPUTED_VALUE"""),"José Gonçalves Gondra")</f>
        <v>José Gonçalves Gondra</v>
      </c>
      <c r="C129" s="24" t="str">
        <f>IFERROR(__xludf.DUMMYFUNCTION("""COMPUTED_VALUE"""),"Rio de Janeiro")</f>
        <v>Rio de Janeiro</v>
      </c>
      <c r="D129" s="24" t="str">
        <f>IFERROR(__xludf.DUMMYFUNCTION("""COMPUTED_VALUE"""),"EdUERJ")</f>
        <v>EdUERJ</v>
      </c>
      <c r="E129" s="25">
        <f>IFERROR(__xludf.DUMMYFUNCTION("""COMPUTED_VALUE"""),2004.0)</f>
        <v>2004</v>
      </c>
      <c r="F129" s="24" t="str">
        <f>IFERROR(__xludf.DUMMYFUNCTION("""COMPUTED_VALUE"""),"Corte imperial; Higiene; Medicina social; Educação escolar")</f>
        <v>Corte imperial; Higiene; Medicina social; Educação escolar</v>
      </c>
      <c r="G129" s="28" t="str">
        <f>IFERROR(__xludf.DUMMYFUNCTION("""COMPUTED_VALUE"""),"8575110721")</f>
        <v>8575110721</v>
      </c>
      <c r="H129" s="29" t="str">
        <f>IFERROR(__xludf.DUMMYFUNCTION("""COMPUTED_VALUE"""),"https://www.eduerj.com/eng/?product=artes-de-civilizar-medicina-higiene-e-educacao-escolar-na-corte-imperial")</f>
        <v>https://www.eduerj.com/eng/?product=artes-de-civilizar-medicina-higiene-e-educacao-escolar-na-corte-imperial</v>
      </c>
      <c r="I129" s="24" t="str">
        <f>IFERROR(__xludf.DUMMYFUNCTION("""COMPUTED_VALUE"""),"Ciências Humanas")</f>
        <v>Ciências Humanas</v>
      </c>
    </row>
    <row r="130">
      <c r="A130" s="24" t="str">
        <f>IFERROR(__xludf.DUMMYFUNCTION("""COMPUTED_VALUE"""),"As Ciências das religiões: um caleidoscópio de reflexões (disponível temporariamente)")</f>
        <v>As Ciências das religiões: um caleidoscópio de reflexões (disponível temporariamente)</v>
      </c>
      <c r="B130" s="24" t="str">
        <f>IFERROR(__xludf.DUMMYFUNCTION("""COMPUTED_VALUE"""),"FernandaLemos, (organizadora) ")</f>
        <v>FernandaLemos, (organizadora) </v>
      </c>
      <c r="C130" s="24" t="str">
        <f>IFERROR(__xludf.DUMMYFUNCTION("""COMPUTED_VALUE"""),"João Pessoa")</f>
        <v>João Pessoa</v>
      </c>
      <c r="D130" s="24" t="str">
        <f>IFERROR(__xludf.DUMMYFUNCTION("""COMPUTED_VALUE"""),"Editora da UFPB")</f>
        <v>Editora da UFPB</v>
      </c>
      <c r="E130" s="25">
        <f>IFERROR(__xludf.DUMMYFUNCTION("""COMPUTED_VALUE"""),2018.0)</f>
        <v>2018</v>
      </c>
      <c r="F130" s="24" t="str">
        <f>IFERROR(__xludf.DUMMYFUNCTION("""COMPUTED_VALUE"""),"Ciências das religiões; Religião; Mulher")</f>
        <v>Ciências das religiões; Religião; Mulher</v>
      </c>
      <c r="G130" s="28" t="str">
        <f>IFERROR(__xludf.DUMMYFUNCTION("""COMPUTED_VALUE"""),"9788523713010")</f>
        <v>9788523713010</v>
      </c>
      <c r="H130" s="29" t="str">
        <f>IFERROR(__xludf.DUMMYFUNCTION("""COMPUTED_VALUE"""),"http://www.editora.ufpb.br/sistema/press5/index.php/UFPB/catalog/book/479")</f>
        <v>http://www.editora.ufpb.br/sistema/press5/index.php/UFPB/catalog/book/479</v>
      </c>
      <c r="I130" s="24" t="str">
        <f>IFERROR(__xludf.DUMMYFUNCTION("""COMPUTED_VALUE"""),"Ciências Humanas")</f>
        <v>Ciências Humanas</v>
      </c>
    </row>
    <row r="131">
      <c r="A131" s="24" t="str">
        <f>IFERROR(__xludf.DUMMYFUNCTION("""COMPUTED_VALUE"""),"As Donas da Rua: comerciantes de descendência africana em Vila Rica e Mariana (1720-1800)")</f>
        <v>As Donas da Rua: comerciantes de descendência africana em Vila Rica e Mariana (1720-1800)</v>
      </c>
      <c r="B131" s="24" t="str">
        <f>IFERROR(__xludf.DUMMYFUNCTION("""COMPUTED_VALUE"""),"Débora Cristina de Gonzaga Camilo")</f>
        <v>Débora Cristina de Gonzaga Camilo</v>
      </c>
      <c r="C131" s="24" t="str">
        <f>IFERROR(__xludf.DUMMYFUNCTION("""COMPUTED_VALUE"""),"Ouro Preto")</f>
        <v>Ouro Preto</v>
      </c>
      <c r="D131" s="24" t="str">
        <f>IFERROR(__xludf.DUMMYFUNCTION("""COMPUTED_VALUE"""),"UFOP")</f>
        <v>UFOP</v>
      </c>
      <c r="E131" s="25">
        <f>IFERROR(__xludf.DUMMYFUNCTION("""COMPUTED_VALUE"""),2015.0)</f>
        <v>2015</v>
      </c>
      <c r="F131" s="24" t="str">
        <f>IFERROR(__xludf.DUMMYFUNCTION("""COMPUTED_VALUE"""),"Cultura. Memória. Ouro Preto (MG). Mariana (MG). Africanos")</f>
        <v>Cultura. Memória. Ouro Preto (MG). Mariana (MG). Africanos</v>
      </c>
      <c r="G131" s="28" t="str">
        <f>IFERROR(__xludf.DUMMYFUNCTION("""COMPUTED_VALUE"""),"9788528803396")</f>
        <v>9788528803396</v>
      </c>
      <c r="H131" s="29" t="str">
        <f>IFERROR(__xludf.DUMMYFUNCTION("""COMPUTED_VALUE"""),"https://www.editora.ufop.br/index.php/editora/catalog/view/15/5/24-1")</f>
        <v>https://www.editora.ufop.br/index.php/editora/catalog/view/15/5/24-1</v>
      </c>
      <c r="I131" s="24" t="str">
        <f>IFERROR(__xludf.DUMMYFUNCTION("""COMPUTED_VALUE"""),"Ciências Humanas")</f>
        <v>Ciências Humanas</v>
      </c>
    </row>
    <row r="132">
      <c r="A132" s="24" t="str">
        <f>IFERROR(__xludf.DUMMYFUNCTION("""COMPUTED_VALUE"""),"As edições do cânone: Da fase buarqueana na coleção História Geral da Civilização Brasileira (1960-1972)")</f>
        <v>As edições do cânone: Da fase buarqueana na coleção História Geral da Civilização Brasileira (1960-1972)</v>
      </c>
      <c r="B132" s="24" t="str">
        <f>IFERROR(__xludf.DUMMYFUNCTION("""COMPUTED_VALUE"""),"André Carlos Furtado")</f>
        <v>André Carlos Furtado</v>
      </c>
      <c r="C132" s="24" t="str">
        <f>IFERROR(__xludf.DUMMYFUNCTION("""COMPUTED_VALUE"""),"Niterói, RJ")</f>
        <v>Niterói, RJ</v>
      </c>
      <c r="D132" s="24" t="str">
        <f>IFERROR(__xludf.DUMMYFUNCTION("""COMPUTED_VALUE"""),"EdUFF")</f>
        <v>EdUFF</v>
      </c>
      <c r="E132" s="25"/>
      <c r="F132" s="24"/>
      <c r="G132" s="26"/>
      <c r="H132" s="29" t="str">
        <f>IFERROR(__xludf.DUMMYFUNCTION("""COMPUTED_VALUE"""),"https://bit.ly/As-edicoes-do-canone")</f>
        <v>https://bit.ly/As-edicoes-do-canone</v>
      </c>
      <c r="I132" s="24" t="str">
        <f>IFERROR(__xludf.DUMMYFUNCTION("""COMPUTED_VALUE"""),"Ciências Humanas")</f>
        <v>Ciências Humanas</v>
      </c>
    </row>
    <row r="133">
      <c r="A133" s="24" t="str">
        <f>IFERROR(__xludf.DUMMYFUNCTION("""COMPUTED_VALUE"""),"As Formas do Império Romano")</f>
        <v>As Formas do Império Romano</v>
      </c>
      <c r="B133" s="24" t="str">
        <f>IFERROR(__xludf.DUMMYFUNCTION("""COMPUTED_VALUE"""),"Fábio Duarte Joly; Fábio Faversani")</f>
        <v>Fábio Duarte Joly; Fábio Faversani</v>
      </c>
      <c r="C133" s="24" t="str">
        <f>IFERROR(__xludf.DUMMYFUNCTION("""COMPUTED_VALUE"""),"Mariana")</f>
        <v>Mariana</v>
      </c>
      <c r="D133" s="24" t="str">
        <f>IFERROR(__xludf.DUMMYFUNCTION("""COMPUTED_VALUE"""),"UFOP")</f>
        <v>UFOP</v>
      </c>
      <c r="E133" s="25">
        <f>IFERROR(__xludf.DUMMYFUNCTION("""COMPUTED_VALUE"""),2014.0)</f>
        <v>2014</v>
      </c>
      <c r="F133" s="24" t="str">
        <f>IFERROR(__xludf.DUMMYFUNCTION("""COMPUTED_VALUE"""),"Roma - História - Império, 30 A.C.- 476 D.C. Roma - Política - 30 A.C.-476 D.C. Economia. Cultura")</f>
        <v>Roma - História - Império, 30 A.C.- 476 D.C. Roma - Política - 30 A.C.-476 D.C. Economia. Cultura</v>
      </c>
      <c r="G133" s="28" t="str">
        <f>IFERROR(__xludf.DUMMYFUNCTION("""COMPUTED_VALUE"""),"9788528803204")</f>
        <v>9788528803204</v>
      </c>
      <c r="H133" s="29" t="str">
        <f>IFERROR(__xludf.DUMMYFUNCTION("""COMPUTED_VALUE"""),"https://www.editora.ufop.br/index.php/editora/catalog/view/33/21/74-1")</f>
        <v>https://www.editora.ufop.br/index.php/editora/catalog/view/33/21/74-1</v>
      </c>
      <c r="I133" s="24" t="str">
        <f>IFERROR(__xludf.DUMMYFUNCTION("""COMPUTED_VALUE"""),"Ciências Humanas")</f>
        <v>Ciências Humanas</v>
      </c>
    </row>
    <row r="134">
      <c r="A134" s="24" t="str">
        <f>IFERROR(__xludf.DUMMYFUNCTION("""COMPUTED_VALUE"""),"As histórias de avós")</f>
        <v>As histórias de avós</v>
      </c>
      <c r="B134" s="24" t="str">
        <f>IFERROR(__xludf.DUMMYFUNCTION("""COMPUTED_VALUE"""),"Nitsche, Julio Cesar Vaz")</f>
        <v>Nitsche, Julio Cesar Vaz</v>
      </c>
      <c r="C134" s="24" t="str">
        <f>IFERROR(__xludf.DUMMYFUNCTION("""COMPUTED_VALUE"""),"Curitiba")</f>
        <v>Curitiba</v>
      </c>
      <c r="D134" s="24" t="str">
        <f>IFERROR(__xludf.DUMMYFUNCTION("""COMPUTED_VALUE"""),"Ed. do Autor")</f>
        <v>Ed. do Autor</v>
      </c>
      <c r="E134" s="25">
        <f>IFERROR(__xludf.DUMMYFUNCTION("""COMPUTED_VALUE"""),2020.0)</f>
        <v>2020</v>
      </c>
      <c r="F134" s="24" t="str">
        <f>IFERROR(__xludf.DUMMYFUNCTION("""COMPUTED_VALUE"""),"Ficção espacial; História Evolutiva da Terra; História aeroespacial; Geografia - diferença entre Geografia e geografia; Militar - uso da geografia como suporte estratégico de guerra; Questões filosóficas - sucinto comentário à La Blache e Ratzel; Sociolog"&amp;"ia- Sociografia; Aristóteles; Konstantin Tsiolkovsky; Robert Goddard; Robert Godwin")</f>
        <v>Ficção espacial; História Evolutiva da Terra; História aeroespacial; Geografia - diferença entre Geografia e geografia; Militar - uso da geografia como suporte estratégico de guerra; Questões filosóficas - sucinto comentário à La Blache e Ratzel; Sociologia- Sociografia; Aristóteles; Konstantin Tsiolkovsky; Robert Goddard; Robert Godwin</v>
      </c>
      <c r="G134" s="28" t="str">
        <f>IFERROR(__xludf.DUMMYFUNCTION("""COMPUTED_VALUE"""),"9786500041958")</f>
        <v>9786500041958</v>
      </c>
      <c r="H134" s="29" t="str">
        <f>IFERROR(__xludf.DUMMYFUNCTION("""COMPUTED_VALUE"""),"https://hdl.handle.net/1884/67246")</f>
        <v>https://hdl.handle.net/1884/67246</v>
      </c>
      <c r="I134" s="24" t="str">
        <f>IFERROR(__xludf.DUMMYFUNCTION("""COMPUTED_VALUE"""),"Ciências Humanas")</f>
        <v>Ciências Humanas</v>
      </c>
    </row>
    <row r="135">
      <c r="A135" s="24" t="str">
        <f>IFERROR(__xludf.DUMMYFUNCTION("""COMPUTED_VALUE"""),"As mulheres e a história: uma introdução teórico metodológica")</f>
        <v>As mulheres e a história: uma introdução teórico metodológica</v>
      </c>
      <c r="B135" s="24" t="str">
        <f>IFERROR(__xludf.DUMMYFUNCTION("""COMPUTED_VALUE"""),"Losandro Antonio Tedeschi. ")</f>
        <v>Losandro Antonio Tedeschi. </v>
      </c>
      <c r="C135" s="24" t="str">
        <f>IFERROR(__xludf.DUMMYFUNCTION("""COMPUTED_VALUE"""),"Dourados, MS")</f>
        <v>Dourados, MS</v>
      </c>
      <c r="D135" s="24" t="str">
        <f>IFERROR(__xludf.DUMMYFUNCTION("""COMPUTED_VALUE"""),"Ed. UFGD")</f>
        <v>Ed. UFGD</v>
      </c>
      <c r="E135" s="25">
        <f>IFERROR(__xludf.DUMMYFUNCTION("""COMPUTED_VALUE"""),2012.0)</f>
        <v>2012</v>
      </c>
      <c r="F135" s="24" t="str">
        <f>IFERROR(__xludf.DUMMYFUNCTION("""COMPUTED_VALUE"""),"Mulheres – História; Mulheres – Condições sociais; Mulheres – Histo-riografia")</f>
        <v>Mulheres – História; Mulheres – Condições sociais; Mulheres – Histo-riografia</v>
      </c>
      <c r="G135" s="28" t="str">
        <f>IFERROR(__xludf.DUMMYFUNCTION("""COMPUTED_VALUE"""),"9788581470306")</f>
        <v>9788581470306</v>
      </c>
      <c r="H135" s="29" t="str">
        <f>IFERROR(__xludf.DUMMYFUNCTION("""COMPUTED_VALUE"""),"http://omp.ufgd.edu.br/omp/index.php/livrosabertos/catalog/view/56/60/208-1")</f>
        <v>http://omp.ufgd.edu.br/omp/index.php/livrosabertos/catalog/view/56/60/208-1</v>
      </c>
      <c r="I135" s="24" t="str">
        <f>IFERROR(__xludf.DUMMYFUNCTION("""COMPUTED_VALUE"""),"Ciências Humanas")</f>
        <v>Ciências Humanas</v>
      </c>
    </row>
    <row r="136">
      <c r="A136" s="24" t="str">
        <f>IFERROR(__xludf.DUMMYFUNCTION("""COMPUTED_VALUE"""),"As Mulheres na Cidade do Recife")</f>
        <v>As Mulheres na Cidade do Recife</v>
      </c>
      <c r="B136" s="24" t="str">
        <f>IFERROR(__xludf.DUMMYFUNCTION("""COMPUTED_VALUE"""),"Alcileide Cabral do Nascimento e Noemia Maria Queiroz Pereira da Luz (org)")</f>
        <v>Alcileide Cabral do Nascimento e Noemia Maria Queiroz Pereira da Luz (org)</v>
      </c>
      <c r="C136" s="24" t="str">
        <f>IFERROR(__xludf.DUMMYFUNCTION("""COMPUTED_VALUE"""),"Recife")</f>
        <v>Recife</v>
      </c>
      <c r="D136" s="24" t="str">
        <f>IFERROR(__xludf.DUMMYFUNCTION("""COMPUTED_VALUE"""),"Editora Universitária da UFRPE")</f>
        <v>Editora Universitária da UFRPE</v>
      </c>
      <c r="E136" s="25">
        <f>IFERROR(__xludf.DUMMYFUNCTION("""COMPUTED_VALUE"""),2015.0)</f>
        <v>2015</v>
      </c>
      <c r="F136" s="24" t="str">
        <f>IFERROR(__xludf.DUMMYFUNCTION("""COMPUTED_VALUE"""),"Mulheres; Feminismo; Cultura; Transgressão")</f>
        <v>Mulheres; Feminismo; Cultura; Transgressão</v>
      </c>
      <c r="G136" s="28" t="str">
        <f>IFERROR(__xludf.DUMMYFUNCTION("""COMPUTED_VALUE"""),"9788579462368")</f>
        <v>9788579462368</v>
      </c>
      <c r="H136" s="29" t="str">
        <f>IFERROR(__xludf.DUMMYFUNCTION("""COMPUTED_VALUE"""),"https://www.dropbox.com/s/k4164nsjec81zbq/Mulheres_na_Cidade_do_Recife.pdf?dl=0")</f>
        <v>https://www.dropbox.com/s/k4164nsjec81zbq/Mulheres_na_Cidade_do_Recife.pdf?dl=0</v>
      </c>
      <c r="I136" s="24" t="str">
        <f>IFERROR(__xludf.DUMMYFUNCTION("""COMPUTED_VALUE"""),"Ciências Humanas")</f>
        <v>Ciências Humanas</v>
      </c>
    </row>
    <row r="137">
      <c r="A137" s="24" t="str">
        <f>IFERROR(__xludf.DUMMYFUNCTION("""COMPUTED_VALUE"""),"As múltiplas faces do discurso em Roma: textos - inscrições - imagens")</f>
        <v>As múltiplas faces do discurso em Roma: textos - inscrições - imagens</v>
      </c>
      <c r="B137" s="24" t="str">
        <f>IFERROR(__xludf.DUMMYFUNCTION("""COMPUTED_VALUE"""),"Gilvan Ventura da Silva, Leni Ribeiro Leite (org.)")</f>
        <v>Gilvan Ventura da Silva, Leni Ribeiro Leite (org.)</v>
      </c>
      <c r="C137" s="24" t="str">
        <f>IFERROR(__xludf.DUMMYFUNCTION("""COMPUTED_VALUE"""),"Vitória")</f>
        <v>Vitória</v>
      </c>
      <c r="D137" s="24" t="str">
        <f>IFERROR(__xludf.DUMMYFUNCTION("""COMPUTED_VALUE"""),"EDUFES")</f>
        <v>EDUFES</v>
      </c>
      <c r="E137" s="25">
        <f>IFERROR(__xludf.DUMMYFUNCTION("""COMPUTED_VALUE"""),2013.0)</f>
        <v>2013</v>
      </c>
      <c r="F137" s="24" t="str">
        <f>IFERROR(__xludf.DUMMYFUNCTION("""COMPUTED_VALUE"""),"Civilização clássica; Análise do discurso literário; Análise do discurso; Civilização")</f>
        <v>Civilização clássica; Análise do discurso literário; Análise do discurso; Civilização</v>
      </c>
      <c r="G137" s="28" t="str">
        <f>IFERROR(__xludf.DUMMYFUNCTION("""COMPUTED_VALUE"""),"9788577721764")</f>
        <v>9788577721764</v>
      </c>
      <c r="H137" s="29" t="str">
        <f>IFERROR(__xludf.DUMMYFUNCTION("""COMPUTED_VALUE"""),"http://repositorio.ufes.br/bitstream/10/1159/1/Livro%20edufes%20As%20m%C3%BAltiplas%20faces%20do%20discurso%20em%20Roma%20textos%2C%20inscri%C3%A7%C3%B5es%2C%20imagens.pdf")</f>
        <v>http://repositorio.ufes.br/bitstream/10/1159/1/Livro%20edufes%20As%20m%C3%BAltiplas%20faces%20do%20discurso%20em%20Roma%20textos%2C%20inscri%C3%A7%C3%B5es%2C%20imagens.pdf</v>
      </c>
      <c r="I137" s="24" t="str">
        <f>IFERROR(__xludf.DUMMYFUNCTION("""COMPUTED_VALUE"""),"Ciências Humanas")</f>
        <v>Ciências Humanas</v>
      </c>
    </row>
    <row r="138">
      <c r="A138" s="24" t="str">
        <f>IFERROR(__xludf.DUMMYFUNCTION("""COMPUTED_VALUE"""),"As nuances e o papel social dos institutos federais de educação, ciência e tecnologia: lugares a ocupar")</f>
        <v>As nuances e o papel social dos institutos federais de educação, ciência e tecnologia: lugares a ocupar</v>
      </c>
      <c r="B138" s="24" t="str">
        <f>IFERROR(__xludf.DUMMYFUNCTION("""COMPUTED_VALUE"""),"organizadores, Marcus Vinicius Pereira, Giselle Rôças")</f>
        <v>organizadores, Marcus Vinicius Pereira, Giselle Rôças</v>
      </c>
      <c r="C138" s="24" t="str">
        <f>IFERROR(__xludf.DUMMYFUNCTION("""COMPUTED_VALUE"""),"João Pessoa")</f>
        <v>João Pessoa</v>
      </c>
      <c r="D138" s="24" t="str">
        <f>IFERROR(__xludf.DUMMYFUNCTION("""COMPUTED_VALUE"""),"Editora IFPB")</f>
        <v>Editora IFPB</v>
      </c>
      <c r="E138" s="25">
        <f>IFERROR(__xludf.DUMMYFUNCTION("""COMPUTED_VALUE"""),2018.0)</f>
        <v>2018</v>
      </c>
      <c r="F138" s="24" t="str">
        <f>IFERROR(__xludf.DUMMYFUNCTION("""COMPUTED_VALUE"""),"Institutos federais de educação – papel social; Educação; Ensino Profissional;Ensino tecnológico; Ensino superior")</f>
        <v>Institutos federais de educação – papel social; Educação; Ensino Profissional;Ensino tecnológico; Ensino superior</v>
      </c>
      <c r="G138" s="28" t="str">
        <f>IFERROR(__xludf.DUMMYFUNCTION("""COMPUTED_VALUE"""),"9788554490119")</f>
        <v>9788554490119</v>
      </c>
      <c r="H138" s="29" t="str">
        <f>IFERROR(__xludf.DUMMYFUNCTION("""COMPUTED_VALUE"""),"http://editora.ifpb.edu.br/index.php/ifpb/catalog/book/212")</f>
        <v>http://editora.ifpb.edu.br/index.php/ifpb/catalog/book/212</v>
      </c>
      <c r="I138" s="24" t="str">
        <f>IFERROR(__xludf.DUMMYFUNCTION("""COMPUTED_VALUE"""),"Ciências Humanas")</f>
        <v>Ciências Humanas</v>
      </c>
    </row>
    <row r="139">
      <c r="A139" s="24" t="str">
        <f>IFERROR(__xludf.DUMMYFUNCTION("""COMPUTED_VALUE"""),"As pastorinhas de Realengo")</f>
        <v>As pastorinhas de Realengo</v>
      </c>
      <c r="B139" s="24" t="str">
        <f>IFERROR(__xludf.DUMMYFUNCTION("""COMPUTED_VALUE"""),"Ermelinda Azevedo Paz")</f>
        <v>Ermelinda Azevedo Paz</v>
      </c>
      <c r="C139" s="24" t="str">
        <f>IFERROR(__xludf.DUMMYFUNCTION("""COMPUTED_VALUE"""),"Rio de Janeiro")</f>
        <v>Rio de Janeiro</v>
      </c>
      <c r="D139" s="24" t="str">
        <f>IFERROR(__xludf.DUMMYFUNCTION("""COMPUTED_VALUE"""),"Editora UFRJ")</f>
        <v>Editora UFRJ</v>
      </c>
      <c r="E139" s="25">
        <f>IFERROR(__xludf.DUMMYFUNCTION("""COMPUTED_VALUE"""),1986.0)</f>
        <v>1986</v>
      </c>
      <c r="F139" s="24" t="str">
        <f>IFERROR(__xludf.DUMMYFUNCTION("""COMPUTED_VALUE"""),"Autos pastoris; Folclore; Folguedos populares")</f>
        <v>Autos pastoris; Folclore; Folguedos populares</v>
      </c>
      <c r="G139" s="28" t="str">
        <f>IFERROR(__xludf.DUMMYFUNCTION("""COMPUTED_VALUE"""),"8571080062")</f>
        <v>8571080062</v>
      </c>
      <c r="H139" s="29" t="str">
        <f>IFERROR(__xludf.DUMMYFUNCTION("""COMPUTED_VALUE"""),"http://www.editora.ufrj.br/DynamicItems/livrosabertos-1/PatorinhasRealengo-compressed.pdf")</f>
        <v>http://www.editora.ufrj.br/DynamicItems/livrosabertos-1/PatorinhasRealengo-compressed.pdf</v>
      </c>
      <c r="I139" s="24" t="str">
        <f>IFERROR(__xludf.DUMMYFUNCTION("""COMPUTED_VALUE"""),"Ciências Humanas")</f>
        <v>Ciências Humanas</v>
      </c>
    </row>
    <row r="140">
      <c r="A140" s="24" t="str">
        <f>IFERROR(__xludf.DUMMYFUNCTION("""COMPUTED_VALUE"""),"As provas da ditadura na política e na educação: o Inquérito Policial Militar (IPM) da Paraíba (1964-1969)")</f>
        <v>As provas da ditadura na política e na educação: o Inquérito Policial Militar (IPM) da Paraíba (1964-1969)</v>
      </c>
      <c r="B140" s="24" t="str">
        <f>IFERROR(__xludf.DUMMYFUNCTION("""COMPUTED_VALUE"""),"Afonso Celso Scocuglia")</f>
        <v>Afonso Celso Scocuglia</v>
      </c>
      <c r="C140" s="24" t="str">
        <f>IFERROR(__xludf.DUMMYFUNCTION("""COMPUTED_VALUE"""),"João Pessoa")</f>
        <v>João Pessoa</v>
      </c>
      <c r="D140" s="24" t="str">
        <f>IFERROR(__xludf.DUMMYFUNCTION("""COMPUTED_VALUE"""),"Editora da UFPB")</f>
        <v>Editora da UFPB</v>
      </c>
      <c r="E140" s="25">
        <f>IFERROR(__xludf.DUMMYFUNCTION("""COMPUTED_VALUE"""),2019.0)</f>
        <v>2019</v>
      </c>
      <c r="F140" s="24" t="str">
        <f>IFERROR(__xludf.DUMMYFUNCTION("""COMPUTED_VALUE"""),"História-Brasil. Ditadura militar. Inquéritos policiais militares (IPM)-Paraíba. Política. Educação")</f>
        <v>História-Brasil. Ditadura militar. Inquéritos policiais militares (IPM)-Paraíba. Política. Educação</v>
      </c>
      <c r="G140" s="28" t="str">
        <f>IFERROR(__xludf.DUMMYFUNCTION("""COMPUTED_VALUE"""),"9788523714550")</f>
        <v>9788523714550</v>
      </c>
      <c r="H140" s="29" t="str">
        <f>IFERROR(__xludf.DUMMYFUNCTION("""COMPUTED_VALUE"""),"http://www.editora.ufpb.br/sistema/press5/index.php/UFPB/catalog/book/202")</f>
        <v>http://www.editora.ufpb.br/sistema/press5/index.php/UFPB/catalog/book/202</v>
      </c>
      <c r="I140" s="24" t="str">
        <f>IFERROR(__xludf.DUMMYFUNCTION("""COMPUTED_VALUE"""),"Ciências Humanas")</f>
        <v>Ciências Humanas</v>
      </c>
    </row>
    <row r="141">
      <c r="A141" s="24" t="str">
        <f>IFERROR(__xludf.DUMMYFUNCTION("""COMPUTED_VALUE"""),"As representações na geografia ")</f>
        <v>As representações na geografia </v>
      </c>
      <c r="B141" s="24" t="str">
        <f>IFERROR(__xludf.DUMMYFUNCTION("""COMPUTED_VALUE"""),"Natanael Reis Bomfim, Lurdes Bertol Rocha, organizadores.")</f>
        <v>Natanael Reis Bomfim, Lurdes Bertol Rocha, organizadores.</v>
      </c>
      <c r="C141" s="24" t="str">
        <f>IFERROR(__xludf.DUMMYFUNCTION("""COMPUTED_VALUE"""),"Ilhéus, BA")</f>
        <v>Ilhéus, BA</v>
      </c>
      <c r="D141" s="24" t="str">
        <f>IFERROR(__xludf.DUMMYFUNCTION("""COMPUTED_VALUE"""),"Editus")</f>
        <v>Editus</v>
      </c>
      <c r="E141" s="25">
        <f>IFERROR(__xludf.DUMMYFUNCTION("""COMPUTED_VALUE"""),2012.0)</f>
        <v>2012</v>
      </c>
      <c r="F141" s="24" t="str">
        <f>IFERROR(__xludf.DUMMYFUNCTION("""COMPUTED_VALUE"""),"Geografia; Geografia – Estudo e ensino; Cartografia")</f>
        <v>Geografia; Geografia – Estudo e ensino; Cartografia</v>
      </c>
      <c r="G141" s="28" t="str">
        <f>IFERROR(__xludf.DUMMYFUNCTION("""COMPUTED_VALUE"""),"9788574552804")</f>
        <v>9788574552804</v>
      </c>
      <c r="H141" s="29" t="str">
        <f>IFERROR(__xludf.DUMMYFUNCTION("""COMPUTED_VALUE"""),"http://www.uesc.br/editora/livrosdigitais2015/as_representacoes_na_geografia.pdf")</f>
        <v>http://www.uesc.br/editora/livrosdigitais2015/as_representacoes_na_geografia.pdf</v>
      </c>
      <c r="I141" s="24" t="str">
        <f>IFERROR(__xludf.DUMMYFUNCTION("""COMPUTED_VALUE"""),"Ciências Humanas")</f>
        <v>Ciências Humanas</v>
      </c>
    </row>
    <row r="142">
      <c r="A142" s="24" t="str">
        <f>IFERROR(__xludf.DUMMYFUNCTION("""COMPUTED_VALUE"""),"As Repúblicas no Brasil: política, sociedade e cultura")</f>
        <v>As Repúblicas no Brasil: política, sociedade e cultura</v>
      </c>
      <c r="B142" s="24" t="str">
        <f>IFERROR(__xludf.DUMMYFUNCTION("""COMPUTED_VALUE"""),"Jorge Ferreira")</f>
        <v>Jorge Ferreira</v>
      </c>
      <c r="C142" s="24" t="str">
        <f>IFERROR(__xludf.DUMMYFUNCTION("""COMPUTED_VALUE"""),"Niterói, RJ")</f>
        <v>Niterói, RJ</v>
      </c>
      <c r="D142" s="24" t="str">
        <f>IFERROR(__xludf.DUMMYFUNCTION("""COMPUTED_VALUE"""),"Editora da UFF")</f>
        <v>Editora da UFF</v>
      </c>
      <c r="E142" s="25">
        <f>IFERROR(__xludf.DUMMYFUNCTION("""COMPUTED_VALUE"""),2010.0)</f>
        <v>2010</v>
      </c>
      <c r="F142" s="24" t="str">
        <f>IFERROR(__xludf.DUMMYFUNCTION("""COMPUTED_VALUE"""),"História do Brasil; Política")</f>
        <v>História do Brasil; Política</v>
      </c>
      <c r="G142" s="28" t="str">
        <f>IFERROR(__xludf.DUMMYFUNCTION("""COMPUTED_VALUE"""),"9788522806041")</f>
        <v>9788522806041</v>
      </c>
      <c r="H142" s="29" t="str">
        <f>IFERROR(__xludf.DUMMYFUNCTION("""COMPUTED_VALUE"""),"http://www.eduff.uff.br/ebooks/As-Republicas-no-Brasil.pdf")</f>
        <v>http://www.eduff.uff.br/ebooks/As-Republicas-no-Brasil.pdf</v>
      </c>
      <c r="I142" s="24" t="str">
        <f>IFERROR(__xludf.DUMMYFUNCTION("""COMPUTED_VALUE"""),"Ciências Humanas")</f>
        <v>Ciências Humanas</v>
      </c>
    </row>
    <row r="143">
      <c r="A143" s="24" t="str">
        <f>IFERROR(__xludf.DUMMYFUNCTION("""COMPUTED_VALUE"""),"As tramas da política extrapartidária em Cabo Verde: ensaios sociológicos")</f>
        <v>As tramas da política extrapartidária em Cabo Verde: ensaios sociológicos</v>
      </c>
      <c r="B143" s="24" t="str">
        <f>IFERROR(__xludf.DUMMYFUNCTION("""COMPUTED_VALUE"""),"Anjos, José Carlos Gomes dos; Baptista, Marcelo Quintino Galvão ")</f>
        <v>Anjos, José Carlos Gomes dos; Baptista, Marcelo Quintino Galvão </v>
      </c>
      <c r="C143" s="24" t="str">
        <f>IFERROR(__xludf.DUMMYFUNCTION("""COMPUTED_VALUE"""),"Porto Alegre")</f>
        <v>Porto Alegre</v>
      </c>
      <c r="D143" s="24" t="str">
        <f>IFERROR(__xludf.DUMMYFUNCTION("""COMPUTED_VALUE"""),"UFRGS")</f>
        <v>UFRGS</v>
      </c>
      <c r="E143" s="25">
        <f>IFERROR(__xludf.DUMMYFUNCTION("""COMPUTED_VALUE"""),2010.0)</f>
        <v>2010</v>
      </c>
      <c r="F143" s="24" t="str">
        <f>IFERROR(__xludf.DUMMYFUNCTION("""COMPUTED_VALUE"""),"Cabo Verde; Política")</f>
        <v>Cabo Verde; Política</v>
      </c>
      <c r="G143" s="28" t="str">
        <f>IFERROR(__xludf.DUMMYFUNCTION("""COMPUTED_VALUE"""),"9789899613058 9788538601050")</f>
        <v>9789899613058 9788538601050</v>
      </c>
      <c r="H143" s="29" t="str">
        <f>IFERROR(__xludf.DUMMYFUNCTION("""COMPUTED_VALUE"""),"http://hdl.handle.net/10183/199975")</f>
        <v>http://hdl.handle.net/10183/199975</v>
      </c>
      <c r="I143" s="24" t="str">
        <f>IFERROR(__xludf.DUMMYFUNCTION("""COMPUTED_VALUE"""),"Ciências Humanas")</f>
        <v>Ciências Humanas</v>
      </c>
    </row>
    <row r="144">
      <c r="A144" s="24" t="str">
        <f>IFERROR(__xludf.DUMMYFUNCTION("""COMPUTED_VALUE"""),"As várias faces da ciência Sobre o sujeito, linguagem, teoria e método como pontos de encontro dos diferentes ramos das ciências — coleção olhares --")</f>
        <v>As várias faces da ciência Sobre o sujeito, linguagem, teoria e método como pontos de encontro dos diferentes ramos das ciências — coleção olhares --</v>
      </c>
      <c r="B144" s="24" t="str">
        <f>IFERROR(__xludf.DUMMYFUNCTION("""COMPUTED_VALUE"""),"Itelvides José de Morais")</f>
        <v>Itelvides José de Morais</v>
      </c>
      <c r="C144" s="24" t="str">
        <f>IFERROR(__xludf.DUMMYFUNCTION("""COMPUTED_VALUE"""),"Anápolis")</f>
        <v>Anápolis</v>
      </c>
      <c r="D144" s="24" t="str">
        <f>IFERROR(__xludf.DUMMYFUNCTION("""COMPUTED_VALUE"""),"UEG")</f>
        <v>UEG</v>
      </c>
      <c r="E144" s="25">
        <f>IFERROR(__xludf.DUMMYFUNCTION("""COMPUTED_VALUE"""),2010.0)</f>
        <v>2010</v>
      </c>
      <c r="F144" s="24" t="str">
        <f>IFERROR(__xludf.DUMMYFUNCTION("""COMPUTED_VALUE"""),"Ciência; Pesquisa Científica")</f>
        <v>Ciência; Pesquisa Científica</v>
      </c>
      <c r="G144" s="28" t="str">
        <f>IFERROR(__xludf.DUMMYFUNCTION("""COMPUTED_VALUE"""),"9788563192103")</f>
        <v>9788563192103</v>
      </c>
      <c r="H144" s="29" t="str">
        <f>IFERROR(__xludf.DUMMYFUNCTION("""COMPUTED_VALUE"""),"http://cdn.ueg.edu.br/source/editora_ueg/conteudoN/4946/pdf_colecao_olhares/livro06_itelvides_jose.pdf")</f>
        <v>http://cdn.ueg.edu.br/source/editora_ueg/conteudoN/4946/pdf_colecao_olhares/livro06_itelvides_jose.pdf</v>
      </c>
      <c r="I144" s="24" t="str">
        <f>IFERROR(__xludf.DUMMYFUNCTION("""COMPUTED_VALUE"""),"Ciências Humanas")</f>
        <v>Ciências Humanas</v>
      </c>
    </row>
    <row r="145">
      <c r="A145" s="24" t="str">
        <f>IFERROR(__xludf.DUMMYFUNCTION("""COMPUTED_VALUE"""),"Aspectos da ocupação pré-colonial em uma área do Mato Grosso de Goiás: tentativa de análise espacial")</f>
        <v>Aspectos da ocupação pré-colonial em uma área do Mato Grosso de Goiás: tentativa de análise espacial</v>
      </c>
      <c r="B145" s="24" t="str">
        <f>IFERROR(__xludf.DUMMYFUNCTION("""COMPUTED_VALUE"""),"Wüst, Irmhild")</f>
        <v>Wüst, Irmhild</v>
      </c>
      <c r="C145" s="24" t="str">
        <f>IFERROR(__xludf.DUMMYFUNCTION("""COMPUTED_VALUE"""),"Criciúma")</f>
        <v>Criciúma</v>
      </c>
      <c r="D145" s="24" t="str">
        <f>IFERROR(__xludf.DUMMYFUNCTION("""COMPUTED_VALUE"""),"UNESC")</f>
        <v>UNESC</v>
      </c>
      <c r="E145" s="25">
        <f>IFERROR(__xludf.DUMMYFUNCTION("""COMPUTED_VALUE"""),2019.0)</f>
        <v>2019</v>
      </c>
      <c r="F145" s="24" t="str">
        <f>IFERROR(__xludf.DUMMYFUNCTION("""COMPUTED_VALUE"""),"Goiás – História - Ocupação; Sítios arqueológicos - Goiás; Arqueologia pré-histórica - Goiás")</f>
        <v>Goiás – História - Ocupação; Sítios arqueológicos - Goiás; Arqueologia pré-histórica - Goiás</v>
      </c>
      <c r="G145" s="28" t="str">
        <f>IFERROR(__xludf.DUMMYFUNCTION("""COMPUTED_VALUE"""),"9788584101191")</f>
        <v>9788584101191</v>
      </c>
      <c r="H145" s="29" t="str">
        <f>IFERROR(__xludf.DUMMYFUNCTION("""COMPUTED_VALUE"""),"http://dx.doi.org/10.18616/mtgo")</f>
        <v>http://dx.doi.org/10.18616/mtgo</v>
      </c>
      <c r="I145" s="24" t="str">
        <f>IFERROR(__xludf.DUMMYFUNCTION("""COMPUTED_VALUE"""),"Ciências Humanas")</f>
        <v>Ciências Humanas</v>
      </c>
    </row>
    <row r="146">
      <c r="A146" s="24" t="str">
        <f>IFERROR(__xludf.DUMMYFUNCTION("""COMPUTED_VALUE"""),"Assentamento rural: reforma agrária em migalhas: estudo do processo de mudança da posição social de assalariados rurais para produtores agrículas mercantis")</f>
        <v>Assentamento rural: reforma agrária em migalhas: estudo do processo de mudança da posição social de assalariados rurais para produtores agrículas mercantis</v>
      </c>
      <c r="B146" s="24" t="str">
        <f>IFERROR(__xludf.DUMMYFUNCTION("""COMPUTED_VALUE"""),"Delma Pessanha Neves")</f>
        <v>Delma Pessanha Neves</v>
      </c>
      <c r="C146" s="24" t="str">
        <f>IFERROR(__xludf.DUMMYFUNCTION("""COMPUTED_VALUE"""),"Niterói, RJ")</f>
        <v>Niterói, RJ</v>
      </c>
      <c r="D146" s="24" t="str">
        <f>IFERROR(__xludf.DUMMYFUNCTION("""COMPUTED_VALUE"""),"EdUFF")</f>
        <v>EdUFF</v>
      </c>
      <c r="E146" s="25">
        <f>IFERROR(__xludf.DUMMYFUNCTION("""COMPUTED_VALUE"""),1997.0)</f>
        <v>1997</v>
      </c>
      <c r="F146" s="24" t="str">
        <f>IFERROR(__xludf.DUMMYFUNCTION("""COMPUTED_VALUE"""),"Reforma agrária; Assentamento rural")</f>
        <v>Reforma agrária; Assentamento rural</v>
      </c>
      <c r="G146" s="28" t="str">
        <f>IFERROR(__xludf.DUMMYFUNCTION("""COMPUTED_VALUE"""),"8522801967")</f>
        <v>8522801967</v>
      </c>
      <c r="H146" s="29" t="str">
        <f>IFERROR(__xludf.DUMMYFUNCTION("""COMPUTED_VALUE"""),"http://www.eduff.uff.br/ebooks/Assentamento-rural.pdf")</f>
        <v>http://www.eduff.uff.br/ebooks/Assentamento-rural.pdf</v>
      </c>
      <c r="I146" s="24" t="str">
        <f>IFERROR(__xludf.DUMMYFUNCTION("""COMPUTED_VALUE"""),"Ciências Humanas")</f>
        <v>Ciências Humanas</v>
      </c>
    </row>
    <row r="147">
      <c r="A147" s="24" t="str">
        <f>IFERROR(__xludf.DUMMYFUNCTION("""COMPUTED_VALUE"""),"Até aos confins da terra: o movimento ecumênico protestante no Brasil e a evangelização dos povos indígena")</f>
        <v>Até aos confins da terra: o movimento ecumênico protestante no Brasil e a evangelização dos povos indígena</v>
      </c>
      <c r="B147" s="24" t="str">
        <f>IFERROR(__xludf.DUMMYFUNCTION("""COMPUTED_VALUE"""),"Carlos Barros Gonçalves")</f>
        <v>Carlos Barros Gonçalves</v>
      </c>
      <c r="C147" s="24" t="str">
        <f>IFERROR(__xludf.DUMMYFUNCTION("""COMPUTED_VALUE"""),"Dourados, MS")</f>
        <v>Dourados, MS</v>
      </c>
      <c r="D147" s="24" t="str">
        <f>IFERROR(__xludf.DUMMYFUNCTION("""COMPUTED_VALUE"""),"Ed. UFGD")</f>
        <v>Ed. UFGD</v>
      </c>
      <c r="E147" s="25">
        <f>IFERROR(__xludf.DUMMYFUNCTION("""COMPUTED_VALUE"""),2011.0)</f>
        <v>2011</v>
      </c>
      <c r="F147" s="24" t="str">
        <f>IFERROR(__xludf.DUMMYFUNCTION("""COMPUTED_VALUE"""),"Protestantismo – Brasil; Igrejas protestantes – Dourados; Movimento ecumênico; Evangelização indígena")</f>
        <v>Protestantismo – Brasil; Igrejas protestantes – Dourados; Movimento ecumênico; Evangelização indígena</v>
      </c>
      <c r="G147" s="28" t="str">
        <f>IFERROR(__xludf.DUMMYFUNCTION("""COMPUTED_VALUE"""),"9788561228910")</f>
        <v>9788561228910</v>
      </c>
      <c r="H147" s="29" t="str">
        <f>IFERROR(__xludf.DUMMYFUNCTION("""COMPUTED_VALUE"""),"http://omp.ufgd.edu.br/omp/index.php/livrosabertos/catalog/view/57/61/209-1")</f>
        <v>http://omp.ufgd.edu.br/omp/index.php/livrosabertos/catalog/view/57/61/209-1</v>
      </c>
      <c r="I147" s="24" t="str">
        <f>IFERROR(__xludf.DUMMYFUNCTION("""COMPUTED_VALUE"""),"Ciências Humanas")</f>
        <v>Ciências Humanas</v>
      </c>
    </row>
    <row r="148">
      <c r="A148" s="24" t="str">
        <f>IFERROR(__xludf.DUMMYFUNCTION("""COMPUTED_VALUE"""),"Atendimento educacional especializado para alunos surdos")</f>
        <v>Atendimento educacional especializado para alunos surdos</v>
      </c>
      <c r="B148" s="24" t="str">
        <f>IFERROR(__xludf.DUMMYFUNCTION("""COMPUTED_VALUE"""),"Lázara Cristina da Silva, Marisa Pinheiro Mourão")</f>
        <v>Lázara Cristina da Silva, Marisa Pinheiro Mourão</v>
      </c>
      <c r="C148" s="24" t="str">
        <f>IFERROR(__xludf.DUMMYFUNCTION("""COMPUTED_VALUE"""),"Uberlândia")</f>
        <v>Uberlândia</v>
      </c>
      <c r="D148" s="24" t="str">
        <f>IFERROR(__xludf.DUMMYFUNCTION("""COMPUTED_VALUE"""),"EDUFU")</f>
        <v>EDUFU</v>
      </c>
      <c r="E148" s="25">
        <f>IFERROR(__xludf.DUMMYFUNCTION("""COMPUTED_VALUE"""),2013.0)</f>
        <v>2013</v>
      </c>
      <c r="F148" s="24" t="str">
        <f>IFERROR(__xludf.DUMMYFUNCTION("""COMPUTED_VALUE"""),"Ensino a distância; Surdos - Educação; Inclusão em educação; Língua brasileira de sinais; Professores - Formação. I. Ferreira, Juliene Madureira. II. Dechichi, Claudia. III. Silva, Lázara Cristina da. IV. Série")</f>
        <v>Ensino a distância; Surdos - Educação; Inclusão em educação; Língua brasileira de sinais; Professores - Formação. I. Ferreira, Juliene Madureira. II. Dechichi, Claudia. III. Silva, Lázara Cristina da. IV. Série</v>
      </c>
      <c r="G148" s="28" t="str">
        <f>IFERROR(__xludf.DUMMYFUNCTION("""COMPUTED_VALUE"""),"9788570783370")</f>
        <v>9788570783370</v>
      </c>
      <c r="H148" s="29" t="str">
        <f>IFERROR(__xludf.DUMMYFUNCTION("""COMPUTED_VALUE"""),"http://www.edufu.ufu.br/sites/edufu.ufu.br/files/e-book_atendimento_educacional_para_surdos_2013_0.pdf")</f>
        <v>http://www.edufu.ufu.br/sites/edufu.ufu.br/files/e-book_atendimento_educacional_para_surdos_2013_0.pdf</v>
      </c>
      <c r="I148" s="24" t="str">
        <f>IFERROR(__xludf.DUMMYFUNCTION("""COMPUTED_VALUE"""),"Ciências Humanas")</f>
        <v>Ciências Humanas</v>
      </c>
    </row>
    <row r="149">
      <c r="A149" s="24" t="str">
        <f>IFERROR(__xludf.DUMMYFUNCTION("""COMPUTED_VALUE"""),"Atendimento educacional para surdos: educação, discursos e tensões na formação continuada de professores no exercício profissional")</f>
        <v>Atendimento educacional para surdos: educação, discursos e tensões na formação continuada de professores no exercício profissional</v>
      </c>
      <c r="B149" s="24" t="str">
        <f>IFERROR(__xludf.DUMMYFUNCTION("""COMPUTED_VALUE"""),"Lázara Cristina da Silva, Márcio Danelon, Marisa Pinheiro Mourão, Organizadores.")</f>
        <v>Lázara Cristina da Silva, Márcio Danelon, Marisa Pinheiro Mourão, Organizadores.</v>
      </c>
      <c r="C149" s="24" t="str">
        <f>IFERROR(__xludf.DUMMYFUNCTION("""COMPUTED_VALUE"""),"Uberlândia")</f>
        <v>Uberlândia</v>
      </c>
      <c r="D149" s="24" t="str">
        <f>IFERROR(__xludf.DUMMYFUNCTION("""COMPUTED_VALUE"""),"EDUFU")</f>
        <v>EDUFU</v>
      </c>
      <c r="E149" s="25">
        <f>IFERROR(__xludf.DUMMYFUNCTION("""COMPUTED_VALUE"""),2013.0)</f>
        <v>2013</v>
      </c>
      <c r="F149" s="24" t="str">
        <f>IFERROR(__xludf.DUMMYFUNCTION("""COMPUTED_VALUE"""),"Educação - Surdos; Professores de educação especial - Formação. I. Silva, Lázara Cristina da. II. Danelon, Márcio. III. Mourão, Marisa Pinheiro. IV. Universidade Federal de Uberlândia. V. Série")</f>
        <v>Educação - Surdos; Professores de educação especial - Formação. I. Silva, Lázara Cristina da. II. Danelon, Márcio. III. Mourão, Marisa Pinheiro. IV. Universidade Federal de Uberlândia. V. Série</v>
      </c>
      <c r="G149" s="28" t="str">
        <f>IFERROR(__xludf.DUMMYFUNCTION("""COMPUTED_VALUE"""),"9788570783578")</f>
        <v>9788570783578</v>
      </c>
      <c r="H149" s="29" t="str">
        <f>IFERROR(__xludf.DUMMYFUNCTION("""COMPUTED_VALUE"""),"http://www.edufu.ufu.br/sites/edufu.ufu.br/files/e-book_discursos_e_tensoes_v3_0.pdf")</f>
        <v>http://www.edufu.ufu.br/sites/edufu.ufu.br/files/e-book_discursos_e_tensoes_v3_0.pdf</v>
      </c>
      <c r="I149" s="24" t="str">
        <f>IFERROR(__xludf.DUMMYFUNCTION("""COMPUTED_VALUE"""),"Ciências Humanas")</f>
        <v>Ciências Humanas</v>
      </c>
    </row>
    <row r="150">
      <c r="A150" s="24" t="str">
        <f>IFERROR(__xludf.DUMMYFUNCTION("""COMPUTED_VALUE"""),"Atlas das condições de vida na Região Metropolitana do Rio de Janeiro")</f>
        <v>Atlas das condições de vida na Região Metropolitana do Rio de Janeiro</v>
      </c>
      <c r="B150" s="24" t="str">
        <f>IFERROR(__xludf.DUMMYFUNCTION("""COMPUTED_VALUE"""),"Cesar Romero Jacob; Dora Rodrigues Hees; Philippe Waniez")</f>
        <v>Cesar Romero Jacob; Dora Rodrigues Hees; Philippe Waniez</v>
      </c>
      <c r="C150" s="24" t="str">
        <f>IFERROR(__xludf.DUMMYFUNCTION("""COMPUTED_VALUE"""),"Rio de Janeiro")</f>
        <v>Rio de Janeiro</v>
      </c>
      <c r="D150" s="24" t="str">
        <f>IFERROR(__xludf.DUMMYFUNCTION("""COMPUTED_VALUE"""),"Editora PUC Rio")</f>
        <v>Editora PUC Rio</v>
      </c>
      <c r="E150" s="25">
        <f>IFERROR(__xludf.DUMMYFUNCTION("""COMPUTED_VALUE"""),2014.0)</f>
        <v>2014</v>
      </c>
      <c r="F150" s="24" t="str">
        <f>IFERROR(__xludf.DUMMYFUNCTION("""COMPUTED_VALUE"""),"Demografia - Rio de Janeiro (Estado). Rio de Janeiro (Estado) – História –; Atlas")</f>
        <v>Demografia - Rio de Janeiro (Estado). Rio de Janeiro (Estado) – História –; Atlas</v>
      </c>
      <c r="G150" s="28" t="str">
        <f>IFERROR(__xludf.DUMMYFUNCTION("""COMPUTED_VALUE"""),"9788580061413")</f>
        <v>9788580061413</v>
      </c>
      <c r="H150" s="29" t="str">
        <f>IFERROR(__xludf.DUMMYFUNCTION("""COMPUTED_VALUE"""),"http://www.editora.puc-rio.br/media/ebook_atlas_vida_rio_de_janeiro.pdf")</f>
        <v>http://www.editora.puc-rio.br/media/ebook_atlas_vida_rio_de_janeiro.pdf</v>
      </c>
      <c r="I150" s="24" t="str">
        <f>IFERROR(__xludf.DUMMYFUNCTION("""COMPUTED_VALUE"""),"Ciências Humanas")</f>
        <v>Ciências Humanas</v>
      </c>
    </row>
    <row r="151">
      <c r="A151" s="24" t="str">
        <f>IFERROR(__xludf.DUMMYFUNCTION("""COMPUTED_VALUE"""),"Atlas de Paleontologia")</f>
        <v>Atlas de Paleontologia</v>
      </c>
      <c r="B151" s="24" t="str">
        <f>IFERROR(__xludf.DUMMYFUNCTION("""COMPUTED_VALUE"""),"Maria Somália Sales Viana")</f>
        <v>Maria Somália Sales Viana</v>
      </c>
      <c r="C151" s="24" t="str">
        <f>IFERROR(__xludf.DUMMYFUNCTION("""COMPUTED_VALUE"""),"Sobral")</f>
        <v>Sobral</v>
      </c>
      <c r="D151" s="24" t="str">
        <f>IFERROR(__xludf.DUMMYFUNCTION("""COMPUTED_VALUE"""),"Edições UVA")</f>
        <v>Edições UVA</v>
      </c>
      <c r="E151" s="25">
        <f>IFERROR(__xludf.DUMMYFUNCTION("""COMPUTED_VALUE"""),2018.0)</f>
        <v>2018</v>
      </c>
      <c r="F151" s="24" t="str">
        <f>IFERROR(__xludf.DUMMYFUNCTION("""COMPUTED_VALUE"""),"Paleontologia, Atlas, Fósseis, Fósseis - Ceará")</f>
        <v>Paleontologia, Atlas, Fósseis, Fósseis - Ceará</v>
      </c>
      <c r="G151" s="28" t="str">
        <f>IFERROR(__xludf.DUMMYFUNCTION("""COMPUTED_VALUE"""),"9788595390171")</f>
        <v>9788595390171</v>
      </c>
      <c r="H151" s="29" t="str">
        <f>IFERROR(__xludf.DUMMYFUNCTION("""COMPUTED_VALUE"""),"http://www.uvanet.br/edicoes_uva/gera_xml.php?arquivo=atlas_paleontologia")</f>
        <v>http://www.uvanet.br/edicoes_uva/gera_xml.php?arquivo=atlas_paleontologia</v>
      </c>
      <c r="I151" s="24" t="str">
        <f>IFERROR(__xludf.DUMMYFUNCTION("""COMPUTED_VALUE"""),"Ciências Humanas")</f>
        <v>Ciências Humanas</v>
      </c>
    </row>
    <row r="152">
      <c r="A152" s="24" t="str">
        <f>IFERROR(__xludf.DUMMYFUNCTION("""COMPUTED_VALUE"""),"Atlas do Município de Natividade")</f>
        <v>Atlas do Município de Natividade</v>
      </c>
      <c r="B152" s="24" t="str">
        <f>IFERROR(__xludf.DUMMYFUNCTION("""COMPUTED_VALUE"""),"Glaucio José Marafon (Organização)")</f>
        <v>Glaucio José Marafon (Organização)</v>
      </c>
      <c r="C152" s="24" t="str">
        <f>IFERROR(__xludf.DUMMYFUNCTION("""COMPUTED_VALUE"""),"Rio de Janeiro")</f>
        <v>Rio de Janeiro</v>
      </c>
      <c r="D152" s="24" t="str">
        <f>IFERROR(__xludf.DUMMYFUNCTION("""COMPUTED_VALUE"""),"EdUERJ")</f>
        <v>EdUERJ</v>
      </c>
      <c r="E152" s="25">
        <f>IFERROR(__xludf.DUMMYFUNCTION("""COMPUTED_VALUE"""),2019.0)</f>
        <v>2019</v>
      </c>
      <c r="F152" s="24" t="str">
        <f>IFERROR(__xludf.DUMMYFUNCTION("""COMPUTED_VALUE"""),"Natividade; Geografia; Mapas")</f>
        <v>Natividade; Geografia; Mapas</v>
      </c>
      <c r="G152" s="28" t="str">
        <f>IFERROR(__xludf.DUMMYFUNCTION("""COMPUTED_VALUE"""),"9788575114940")</f>
        <v>9788575114940</v>
      </c>
      <c r="H152" s="29" t="str">
        <f>IFERROR(__xludf.DUMMYFUNCTION("""COMPUTED_VALUE"""),"https://www.eduerj.com/eng/?product=municipio-de-natividade")</f>
        <v>https://www.eduerj.com/eng/?product=municipio-de-natividade</v>
      </c>
      <c r="I152" s="24" t="str">
        <f>IFERROR(__xludf.DUMMYFUNCTION("""COMPUTED_VALUE"""),"Ciências Humanas")</f>
        <v>Ciências Humanas</v>
      </c>
    </row>
    <row r="153">
      <c r="A153" s="24" t="str">
        <f>IFERROR(__xludf.DUMMYFUNCTION("""COMPUTED_VALUE"""),"Atlas do Município de Nova Friburgo")</f>
        <v>Atlas do Município de Nova Friburgo</v>
      </c>
      <c r="B153" s="24" t="str">
        <f>IFERROR(__xludf.DUMMYFUNCTION("""COMPUTED_VALUE"""),"Glaucio José Marafon (organização)")</f>
        <v>Glaucio José Marafon (organização)</v>
      </c>
      <c r="C153" s="24" t="str">
        <f>IFERROR(__xludf.DUMMYFUNCTION("""COMPUTED_VALUE"""),"Rio de Janeiro")</f>
        <v>Rio de Janeiro</v>
      </c>
      <c r="D153" s="24" t="str">
        <f>IFERROR(__xludf.DUMMYFUNCTION("""COMPUTED_VALUE"""),"EdUERJ")</f>
        <v>EdUERJ</v>
      </c>
      <c r="E153" s="25">
        <f>IFERROR(__xludf.DUMMYFUNCTION("""COMPUTED_VALUE"""),2019.0)</f>
        <v>2019</v>
      </c>
      <c r="F153" s="24" t="str">
        <f>IFERROR(__xludf.DUMMYFUNCTION("""COMPUTED_VALUE"""),"Atlas; Atlas geográfico; Nova Friburgo")</f>
        <v>Atlas; Atlas geográfico; Nova Friburgo</v>
      </c>
      <c r="G153" s="28" t="str">
        <f>IFERROR(__xludf.DUMMYFUNCTION("""COMPUTED_VALUE"""),"9788575113295")</f>
        <v>9788575113295</v>
      </c>
      <c r="H153" s="29" t="str">
        <f>IFERROR(__xludf.DUMMYFUNCTION("""COMPUTED_VALUE"""),"https://www.eduerj.com/eng/?product=atlas-do-municipio-de-nova-friburgo")</f>
        <v>https://www.eduerj.com/eng/?product=atlas-do-municipio-de-nova-friburgo</v>
      </c>
      <c r="I153" s="24" t="str">
        <f>IFERROR(__xludf.DUMMYFUNCTION("""COMPUTED_VALUE"""),"Ciências Humanas")</f>
        <v>Ciências Humanas</v>
      </c>
    </row>
    <row r="154">
      <c r="A154" s="24" t="str">
        <f>IFERROR(__xludf.DUMMYFUNCTION("""COMPUTED_VALUE"""),"Atlas Geográfico: Município de Itaboraí")</f>
        <v>Atlas Geográfico: Município de Itaboraí</v>
      </c>
      <c r="B154" s="24" t="str">
        <f>IFERROR(__xludf.DUMMYFUNCTION("""COMPUTED_VALUE"""),"Glaucio Marafon (Org.)")</f>
        <v>Glaucio Marafon (Org.)</v>
      </c>
      <c r="C154" s="24" t="str">
        <f>IFERROR(__xludf.DUMMYFUNCTION("""COMPUTED_VALUE"""),"Rio de Janeiro")</f>
        <v>Rio de Janeiro</v>
      </c>
      <c r="D154" s="24" t="str">
        <f>IFERROR(__xludf.DUMMYFUNCTION("""COMPUTED_VALUE"""),"EdUERJ")</f>
        <v>EdUERJ</v>
      </c>
      <c r="E154" s="25">
        <f>IFERROR(__xludf.DUMMYFUNCTION("""COMPUTED_VALUE"""),2016.0)</f>
        <v>2016</v>
      </c>
      <c r="F154" s="24" t="str">
        <f>IFERROR(__xludf.DUMMYFUNCTION("""COMPUTED_VALUE"""),"Itaboraí; Geografia; Mapas")</f>
        <v>Itaboraí; Geografia; Mapas</v>
      </c>
      <c r="G154" s="28" t="str">
        <f>IFERROR(__xludf.DUMMYFUNCTION("""COMPUTED_VALUE"""),"9788575114322")</f>
        <v>9788575114322</v>
      </c>
      <c r="H154" s="29" t="str">
        <f>IFERROR(__xludf.DUMMYFUNCTION("""COMPUTED_VALUE"""),"https://www.eduerj.com/eng/?product=atlas-geografico-municipio-de-itaborai")</f>
        <v>https://www.eduerj.com/eng/?product=atlas-geografico-municipio-de-itaborai</v>
      </c>
      <c r="I154" s="24" t="str">
        <f>IFERROR(__xludf.DUMMYFUNCTION("""COMPUTED_VALUE"""),"Ciências Humanas")</f>
        <v>Ciências Humanas</v>
      </c>
    </row>
    <row r="155">
      <c r="A155" s="24" t="str">
        <f>IFERROR(__xludf.DUMMYFUNCTION("""COMPUTED_VALUE"""),"Atlas Geográfico: Município de Três Rios")</f>
        <v>Atlas Geográfico: Município de Três Rios</v>
      </c>
      <c r="B155" s="24" t="str">
        <f>IFERROR(__xludf.DUMMYFUNCTION("""COMPUTED_VALUE"""),"(Organização) Glaucio José Marafon")</f>
        <v>(Organização) Glaucio José Marafon</v>
      </c>
      <c r="C155" s="24" t="str">
        <f>IFERROR(__xludf.DUMMYFUNCTION("""COMPUTED_VALUE"""),"Rio de Janeiro")</f>
        <v>Rio de Janeiro</v>
      </c>
      <c r="D155" s="24" t="str">
        <f>IFERROR(__xludf.DUMMYFUNCTION("""COMPUTED_VALUE"""),"EdUERJ")</f>
        <v>EdUERJ</v>
      </c>
      <c r="E155" s="25">
        <f>IFERROR(__xludf.DUMMYFUNCTION("""COMPUTED_VALUE"""),2018.0)</f>
        <v>2018</v>
      </c>
      <c r="F155" s="24" t="str">
        <f>IFERROR(__xludf.DUMMYFUNCTION("""COMPUTED_VALUE"""),"Três Rios; Geografia; Mapas")</f>
        <v>Três Rios; Geografia; Mapas</v>
      </c>
      <c r="G155" s="28" t="str">
        <f>IFERROR(__xludf.DUMMYFUNCTION("""COMPUTED_VALUE"""),"9788575114612")</f>
        <v>9788575114612</v>
      </c>
      <c r="H155" s="29" t="str">
        <f>IFERROR(__xludf.DUMMYFUNCTION("""COMPUTED_VALUE"""),"https://www.eduerj.com/eng/?product=atlas-geografico-municipio-de-tres-rios")</f>
        <v>https://www.eduerj.com/eng/?product=atlas-geografico-municipio-de-tres-rios</v>
      </c>
      <c r="I155" s="24" t="str">
        <f>IFERROR(__xludf.DUMMYFUNCTION("""COMPUTED_VALUE"""),"Ciências Humanas")</f>
        <v>Ciências Humanas</v>
      </c>
    </row>
    <row r="156">
      <c r="A156" s="24" t="str">
        <f>IFERROR(__xludf.DUMMYFUNCTION("""COMPUTED_VALUE"""),"Atos infracionais e medidas socioeducativas: uma leitura dogmática, crítica e constitucional ")</f>
        <v>Atos infracionais e medidas socioeducativas: uma leitura dogmática, crítica e constitucional </v>
      </c>
      <c r="B156" s="24" t="str">
        <f>IFERROR(__xludf.DUMMYFUNCTION("""COMPUTED_VALUE"""),"Marcos Bandeira")</f>
        <v>Marcos Bandeira</v>
      </c>
      <c r="C156" s="24" t="str">
        <f>IFERROR(__xludf.DUMMYFUNCTION("""COMPUTED_VALUE"""),"Ilhéus, BA")</f>
        <v>Ilhéus, BA</v>
      </c>
      <c r="D156" s="24" t="str">
        <f>IFERROR(__xludf.DUMMYFUNCTION("""COMPUTED_VALUE"""),"Editus")</f>
        <v>Editus</v>
      </c>
      <c r="E156" s="25">
        <f>IFERROR(__xludf.DUMMYFUNCTION("""COMPUTED_VALUE"""),2006.0)</f>
        <v>2006</v>
      </c>
      <c r="F156" s="24" t="str">
        <f>IFERROR(__xludf.DUMMYFUNCTION("""COMPUTED_VALUE"""),"Delinqüência juvenil; Crianças e adolescentes - Estatuto; Direitos da criança - Brasil; Assistência a Menores - Brasil")</f>
        <v>Delinqüência juvenil; Crianças e adolescentes - Estatuto; Direitos da criança - Brasil; Assistência a Menores - Brasil</v>
      </c>
      <c r="G156" s="28" t="str">
        <f>IFERROR(__xludf.DUMMYFUNCTION("""COMPUTED_VALUE"""),"857455121X")</f>
        <v>857455121X</v>
      </c>
      <c r="H156" s="29" t="str">
        <f>IFERROR(__xludf.DUMMYFUNCTION("""COMPUTED_VALUE"""),"http://www.uesc.br/editora/livrosdigitais/atos-infracionais-medidas-socioeducativas.pdf")</f>
        <v>http://www.uesc.br/editora/livrosdigitais/atos-infracionais-medidas-socioeducativas.pdf</v>
      </c>
      <c r="I156" s="24" t="str">
        <f>IFERROR(__xludf.DUMMYFUNCTION("""COMPUTED_VALUE"""),"Ciências Humanas")</f>
        <v>Ciências Humanas</v>
      </c>
    </row>
    <row r="157">
      <c r="A157" s="24" t="str">
        <f>IFERROR(__xludf.DUMMYFUNCTION("""COMPUTED_VALUE"""),"Atualizações na Profissionalização Docente: PIBID/UEPB")</f>
        <v>Atualizações na Profissionalização Docente: PIBID/UEPB</v>
      </c>
      <c r="B157" s="24" t="str">
        <f>IFERROR(__xludf.DUMMYFUNCTION("""COMPUTED_VALUE"""),"Paula Almeida de Castro (org.)")</f>
        <v>Paula Almeida de Castro (org.)</v>
      </c>
      <c r="C157" s="24" t="str">
        <f>IFERROR(__xludf.DUMMYFUNCTION("""COMPUTED_VALUE"""),"Campina Grande")</f>
        <v>Campina Grande</v>
      </c>
      <c r="D157" s="24" t="str">
        <f>IFERROR(__xludf.DUMMYFUNCTION("""COMPUTED_VALUE"""),"EDUEPB")</f>
        <v>EDUEPB</v>
      </c>
      <c r="E157" s="25">
        <f>IFERROR(__xludf.DUMMYFUNCTION("""COMPUTED_VALUE"""),2018.0)</f>
        <v>2018</v>
      </c>
      <c r="F157" s="24" t="str">
        <f>IFERROR(__xludf.DUMMYFUNCTION("""COMPUTED_VALUE"""),"Educação. Ensino aprendizagem. Escolas; públicas. Profissionalização docente. Formação inicial e continuada. Literatura, poesia e ensino. Formação de professores ")</f>
        <v>Educação. Ensino aprendizagem. Escolas; públicas. Profissionalização docente. Formação inicial e continuada. Literatura, poesia e ensino. Formação de professores </v>
      </c>
      <c r="G157" s="28" t="str">
        <f>IFERROR(__xludf.DUMMYFUNCTION("""COMPUTED_VALUE"""),"9788578794910")</f>
        <v>9788578794910</v>
      </c>
      <c r="H157" s="29" t="str">
        <f>IFERROR(__xludf.DUMMYFUNCTION("""COMPUTED_VALUE"""),"http://eduepb.uepb.edu.br/download/atualizacoes-na-profissionalizacao-docente-pibid-uepb/?wpdmdl=494&amp;amp;masterkey=5ba8cbce33739")</f>
        <v>http://eduepb.uepb.edu.br/download/atualizacoes-na-profissionalizacao-docente-pibid-uepb/?wpdmdl=494&amp;amp;masterkey=5ba8cbce33739</v>
      </c>
      <c r="I157" s="24" t="str">
        <f>IFERROR(__xludf.DUMMYFUNCTION("""COMPUTED_VALUE"""),"Ciências Humanas")</f>
        <v>Ciências Humanas</v>
      </c>
    </row>
    <row r="158">
      <c r="A158" s="24" t="str">
        <f>IFERROR(__xludf.DUMMYFUNCTION("""COMPUTED_VALUE"""),"Avaliação da educação: referências para uma primeira conversa*")</f>
        <v>Avaliação da educação: referências para uma primeira conversa*</v>
      </c>
      <c r="B158" s="24" t="str">
        <f>IFERROR(__xludf.DUMMYFUNCTION("""COMPUTED_VALUE"""),"Organizadores: José Carlos Rothen e Andréia da Cunha Malheiros Santana")</f>
        <v>Organizadores: José Carlos Rothen e Andréia da Cunha Malheiros Santana</v>
      </c>
      <c r="C158" s="24" t="str">
        <f>IFERROR(__xludf.DUMMYFUNCTION("""COMPUTED_VALUE"""),"São Carlos")</f>
        <v>São Carlos</v>
      </c>
      <c r="D158" s="24" t="str">
        <f>IFERROR(__xludf.DUMMYFUNCTION("""COMPUTED_VALUE"""),"EdUFSCar")</f>
        <v>EdUFSCar</v>
      </c>
      <c r="E158" s="25">
        <f>IFERROR(__xludf.DUMMYFUNCTION("""COMPUTED_VALUE"""),2018.0)</f>
        <v>2018</v>
      </c>
      <c r="F158" s="24" t="str">
        <f>IFERROR(__xludf.DUMMYFUNCTION("""COMPUTED_VALUE"""),"Educação; Formação discente; Avaliação da educação")</f>
        <v>Educação; Formação discente; Avaliação da educação</v>
      </c>
      <c r="G158" s="28" t="str">
        <f>IFERROR(__xludf.DUMMYFUNCTION("""COMPUTED_VALUE"""),"9788576004882")</f>
        <v>9788576004882</v>
      </c>
      <c r="H158" s="29" t="str">
        <f>IFERROR(__xludf.DUMMYFUNCTION("""COMPUTED_VALUE"""),"https://www.edufscar.com.br/farol/edufscar/ebook/avaliacao-da-educacao-referencias-para-uma-primeira-conversa/52929/")</f>
        <v>https://www.edufscar.com.br/farol/edufscar/ebook/avaliacao-da-educacao-referencias-para-uma-primeira-conversa/52929/</v>
      </c>
      <c r="I158" s="24" t="str">
        <f>IFERROR(__xludf.DUMMYFUNCTION("""COMPUTED_VALUE"""),"Ciências Humanas")</f>
        <v>Ciências Humanas</v>
      </c>
    </row>
    <row r="159">
      <c r="A159" s="24" t="str">
        <f>IFERROR(__xludf.DUMMYFUNCTION("""COMPUTED_VALUE"""),"Avaliação do Ensino Superior: reflexões e práticas")</f>
        <v>Avaliação do Ensino Superior: reflexões e práticas</v>
      </c>
      <c r="B159" s="24" t="str">
        <f>IFERROR(__xludf.DUMMYFUNCTION("""COMPUTED_VALUE"""),"Mônica Dias Palitot; Caroline Rangel Travassos Burity")</f>
        <v>Mônica Dias Palitot; Caroline Rangel Travassos Burity</v>
      </c>
      <c r="C159" s="24" t="str">
        <f>IFERROR(__xludf.DUMMYFUNCTION("""COMPUTED_VALUE"""),"João Pessoa")</f>
        <v>João Pessoa</v>
      </c>
      <c r="D159" s="24" t="str">
        <f>IFERROR(__xludf.DUMMYFUNCTION("""COMPUTED_VALUE"""),"Editora da UFPB")</f>
        <v>Editora da UFPB</v>
      </c>
      <c r="E159" s="25">
        <f>IFERROR(__xludf.DUMMYFUNCTION("""COMPUTED_VALUE"""),2020.0)</f>
        <v>2020</v>
      </c>
      <c r="F159" s="24" t="str">
        <f>IFERROR(__xludf.DUMMYFUNCTION("""COMPUTED_VALUE"""),"Ensino superior - Avaliação. Avaliação institucional - Instrumentos. Políticas acadêmicas - Avaliação")</f>
        <v>Ensino superior - Avaliação. Avaliação institucional - Instrumentos. Políticas acadêmicas - Avaliação</v>
      </c>
      <c r="G159" s="28" t="str">
        <f>IFERROR(__xludf.DUMMYFUNCTION("""COMPUTED_VALUE"""),"9788523714826")</f>
        <v>9788523714826</v>
      </c>
      <c r="H159" s="29" t="str">
        <f>IFERROR(__xludf.DUMMYFUNCTION("""COMPUTED_VALUE"""),"http://www.editora.ufpb.br/sistema/press5/index.php/UFPB/catalog/book/222")</f>
        <v>http://www.editora.ufpb.br/sistema/press5/index.php/UFPB/catalog/book/222</v>
      </c>
      <c r="I159" s="24" t="str">
        <f>IFERROR(__xludf.DUMMYFUNCTION("""COMPUTED_VALUE"""),"Ciências Humanas")</f>
        <v>Ciências Humanas</v>
      </c>
    </row>
    <row r="160">
      <c r="A160" s="24" t="str">
        <f>IFERROR(__xludf.DUMMYFUNCTION("""COMPUTED_VALUE"""),"Avaliação educacional de alunos com baixa visão e múltipla deiciência na educação infantil. ")</f>
        <v>Avaliação educacional de alunos com baixa visão e múltipla deiciência na educação infantil. </v>
      </c>
      <c r="B160" s="24" t="str">
        <f>IFERROR(__xludf.DUMMYFUNCTION("""COMPUTED_VALUE"""),"Marilda Moraes Garcia Bruno")</f>
        <v>Marilda Moraes Garcia Bruno</v>
      </c>
      <c r="C160" s="24" t="str">
        <f>IFERROR(__xludf.DUMMYFUNCTION("""COMPUTED_VALUE"""),"Dourados, MS")</f>
        <v>Dourados, MS</v>
      </c>
      <c r="D160" s="24" t="str">
        <f>IFERROR(__xludf.DUMMYFUNCTION("""COMPUTED_VALUE"""),"Editora da UFGD")</f>
        <v>Editora da UFGD</v>
      </c>
      <c r="E160" s="25">
        <f>IFERROR(__xludf.DUMMYFUNCTION("""COMPUTED_VALUE"""),2009.0)</f>
        <v>2009</v>
      </c>
      <c r="F160" s="24" t="str">
        <f>IFERROR(__xludf.DUMMYFUNCTION("""COMPUTED_VALUE"""),"Educação especial - Avaliação – Instrumentos; Inclusão na educação; Deicientes visuais - Educação")</f>
        <v>Educação especial - Avaliação – Instrumentos; Inclusão na educação; Deicientes visuais - Educação</v>
      </c>
      <c r="G160" s="28" t="str">
        <f>IFERROR(__xludf.DUMMYFUNCTION("""COMPUTED_VALUE"""),"9788561228378")</f>
        <v>9788561228378</v>
      </c>
      <c r="H160" s="29" t="str">
        <f>IFERROR(__xludf.DUMMYFUNCTION("""COMPUTED_VALUE"""),"http://omp.ufgd.edu.br/omp/index.php/livrosabertos/catalog/view/116/63/213-1")</f>
        <v>http://omp.ufgd.edu.br/omp/index.php/livrosabertos/catalog/view/116/63/213-1</v>
      </c>
      <c r="I160" s="24" t="str">
        <f>IFERROR(__xludf.DUMMYFUNCTION("""COMPUTED_VALUE"""),"Ciências Humanas")</f>
        <v>Ciências Humanas</v>
      </c>
    </row>
    <row r="161">
      <c r="A161" s="24" t="str">
        <f>IFERROR(__xludf.DUMMYFUNCTION("""COMPUTED_VALUE"""),"Avaliação Psicológica e Escolarização: contribuições da psicologia histórico-cultural ")</f>
        <v>Avaliação Psicológica e Escolarização: contribuições da psicologia histórico-cultural </v>
      </c>
      <c r="B161" s="24" t="str">
        <f>IFERROR(__xludf.DUMMYFUNCTION("""COMPUTED_VALUE"""),"Marilda Gonçalves Dias Facci, Nilza Sanches Tessaro Leonardo, Marilene Proença Rebello de Souza (org.)")</f>
        <v>Marilda Gonçalves Dias Facci, Nilza Sanches Tessaro Leonardo, Marilene Proença Rebello de Souza (org.)</v>
      </c>
      <c r="C161" s="24" t="str">
        <f>IFERROR(__xludf.DUMMYFUNCTION("""COMPUTED_VALUE"""),"Teresina")</f>
        <v>Teresina</v>
      </c>
      <c r="D161" s="24" t="str">
        <f>IFERROR(__xludf.DUMMYFUNCTION("""COMPUTED_VALUE"""),"EDUFPI")</f>
        <v>EDUFPI</v>
      </c>
      <c r="E161" s="25">
        <f>IFERROR(__xludf.DUMMYFUNCTION("""COMPUTED_VALUE"""),2019.0)</f>
        <v>2019</v>
      </c>
      <c r="F161" s="24" t="str">
        <f>IFERROR(__xludf.DUMMYFUNCTION("""COMPUTED_VALUE"""),"Avaliação psicológica; Psicologia; histórico-cultural; Processo de aprendizagem; Educação especial")</f>
        <v>Avaliação psicológica; Psicologia; histórico-cultural; Processo de aprendizagem; Educação especial</v>
      </c>
      <c r="G161" s="28" t="str">
        <f>IFERROR(__xludf.DUMMYFUNCTION("""COMPUTED_VALUE"""),"9788550905174")</f>
        <v>9788550905174</v>
      </c>
      <c r="H161" s="29" t="str">
        <f>IFERROR(__xludf.DUMMYFUNCTION("""COMPUTED_VALUE"""),"https://www.ufpi.br/arquivos_download/arquivos/2019-AVALIACAO_PSICOLOGICA_REVISADO_COM_FICHA20191008143045.pdf")</f>
        <v>https://www.ufpi.br/arquivos_download/arquivos/2019-AVALIACAO_PSICOLOGICA_REVISADO_COM_FICHA20191008143045.pdf</v>
      </c>
      <c r="I161" s="24" t="str">
        <f>IFERROR(__xludf.DUMMYFUNCTION("""COMPUTED_VALUE"""),"Ciências Humanas")</f>
        <v>Ciências Humanas</v>
      </c>
    </row>
    <row r="162">
      <c r="A162" s="24" t="str">
        <f>IFERROR(__xludf.DUMMYFUNCTION("""COMPUTED_VALUE"""),"AVAÑE’Ẽ")</f>
        <v>AVAÑE’Ẽ</v>
      </c>
      <c r="B162" s="24" t="str">
        <f>IFERROR(__xludf.DUMMYFUNCTION("""COMPUTED_VALUE"""),"Adão Ferreira Benites, Adilson Crepalde, Tonico Benites")</f>
        <v>Adão Ferreira Benites, Adilson Crepalde, Tonico Benites</v>
      </c>
      <c r="C162" s="24" t="str">
        <f>IFERROR(__xludf.DUMMYFUNCTION("""COMPUTED_VALUE"""),"Dourados, MS")</f>
        <v>Dourados, MS</v>
      </c>
      <c r="D162" s="24" t="str">
        <f>IFERROR(__xludf.DUMMYFUNCTION("""COMPUTED_VALUE"""),"Editora UEMS")</f>
        <v>Editora UEMS</v>
      </c>
      <c r="E162" s="25">
        <f>IFERROR(__xludf.DUMMYFUNCTION("""COMPUTED_VALUE"""),2015.0)</f>
        <v>2015</v>
      </c>
      <c r="F162" s="24" t="str">
        <f>IFERROR(__xludf.DUMMYFUNCTION("""COMPUTED_VALUE"""),"Guarani-Kaiowá - cultura; Guarani-Kaiowá - língua; Guarani - variação linguística")</f>
        <v>Guarani-Kaiowá - cultura; Guarani-Kaiowá - língua; Guarani - variação linguística</v>
      </c>
      <c r="G162" s="28" t="str">
        <f>IFERROR(__xludf.DUMMYFUNCTION("""COMPUTED_VALUE"""),"9788599880760")</f>
        <v>9788599880760</v>
      </c>
      <c r="H162" s="29" t="str">
        <f>IFERROR(__xludf.DUMMYFUNCTION("""COMPUTED_VALUE"""),"http://www.uems.br/assets/uploads/editora/arquivos/2_2016-09-29_16-52-43.pdf")</f>
        <v>http://www.uems.br/assets/uploads/editora/arquivos/2_2016-09-29_16-52-43.pdf</v>
      </c>
      <c r="I162" s="24" t="str">
        <f>IFERROR(__xludf.DUMMYFUNCTION("""COMPUTED_VALUE"""),"Ciências Humanas")</f>
        <v>Ciências Humanas</v>
      </c>
    </row>
    <row r="163">
      <c r="A163" s="24" t="str">
        <f>IFERROR(__xludf.DUMMYFUNCTION("""COMPUTED_VALUE"""),"Bandidos e elites citadinas na África Romana: um estudo sobre a formação de estigmas com base nas Metamorphoses de Apuleio de Madaura (século II)")</f>
        <v>Bandidos e elites citadinas na África Romana: um estudo sobre a formação de estigmas com base nas Metamorphoses de Apuleio de Madaura (século II)</v>
      </c>
      <c r="B163" s="24" t="str">
        <f>IFERROR(__xludf.DUMMYFUNCTION("""COMPUTED_VALUE"""),"Belchior Monteiro Lima Neto")</f>
        <v>Belchior Monteiro Lima Neto</v>
      </c>
      <c r="C163" s="24" t="str">
        <f>IFERROR(__xludf.DUMMYFUNCTION("""COMPUTED_VALUE"""),"Vitória")</f>
        <v>Vitória</v>
      </c>
      <c r="D163" s="24" t="str">
        <f>IFERROR(__xludf.DUMMYFUNCTION("""COMPUTED_VALUE"""),"EDUFES")</f>
        <v>EDUFES</v>
      </c>
      <c r="E163" s="25">
        <f>IFERROR(__xludf.DUMMYFUNCTION("""COMPUTED_VALUE"""),2014.0)</f>
        <v>2014</v>
      </c>
      <c r="F163" s="24" t="str">
        <f>IFERROR(__xludf.DUMMYFUNCTION("""COMPUTED_VALUE"""),"Apuleio; História antiga; Bandidos; África; Roma")</f>
        <v>Apuleio; História antiga; Bandidos; África; Roma</v>
      </c>
      <c r="G163" s="28" t="str">
        <f>IFERROR(__xludf.DUMMYFUNCTION("""COMPUTED_VALUE"""),"9788577722525")</f>
        <v>9788577722525</v>
      </c>
      <c r="H163" s="29" t="str">
        <f>IFERROR(__xludf.DUMMYFUNCTION("""COMPUTED_VALUE"""),"http://repositorio.ufes.br/handle/10/1904")</f>
        <v>http://repositorio.ufes.br/handle/10/1904</v>
      </c>
      <c r="I163" s="24" t="str">
        <f>IFERROR(__xludf.DUMMYFUNCTION("""COMPUTED_VALUE"""),"Ciências Humanas")</f>
        <v>Ciências Humanas</v>
      </c>
    </row>
    <row r="164">
      <c r="A164" s="24" t="str">
        <f>IFERROR(__xludf.DUMMYFUNCTION("""COMPUTED_VALUE"""),"Bioética: autopreservação, enigmas e responsabilidade")</f>
        <v>Bioética: autopreservação, enigmas e responsabilidade</v>
      </c>
      <c r="B164" s="24" t="str">
        <f>IFERROR(__xludf.DUMMYFUNCTION("""COMPUTED_VALUE"""),"Heck, José")</f>
        <v>Heck, José</v>
      </c>
      <c r="C164" s="24" t="str">
        <f>IFERROR(__xludf.DUMMYFUNCTION("""COMPUTED_VALUE"""),"Florianópolis")</f>
        <v>Florianópolis</v>
      </c>
      <c r="D164" s="24" t="str">
        <f>IFERROR(__xludf.DUMMYFUNCTION("""COMPUTED_VALUE"""),"Editora da UFSC")</f>
        <v>Editora da UFSC</v>
      </c>
      <c r="E164" s="25">
        <f>IFERROR(__xludf.DUMMYFUNCTION("""COMPUTED_VALUE"""),2011.0)</f>
        <v>2011</v>
      </c>
      <c r="F164" s="24" t="str">
        <f>IFERROR(__xludf.DUMMYFUNCTION("""COMPUTED_VALUE"""),"Bioética;Ciência e ética")</f>
        <v>Bioética;Ciência e ética</v>
      </c>
      <c r="G164" s="28" t="str">
        <f>IFERROR(__xludf.DUMMYFUNCTION("""COMPUTED_VALUE"""),"9788532805614")</f>
        <v>9788532805614</v>
      </c>
      <c r="H164" s="29" t="str">
        <f>IFERROR(__xludf.DUMMYFUNCTION("""COMPUTED_VALUE"""),"https://repositorio.ufsc.br/handle/123456789/187609")</f>
        <v>https://repositorio.ufsc.br/handle/123456789/187609</v>
      </c>
      <c r="I164" s="24" t="str">
        <f>IFERROR(__xludf.DUMMYFUNCTION("""COMPUTED_VALUE"""),"Ciências Humanas")</f>
        <v>Ciências Humanas</v>
      </c>
    </row>
    <row r="165">
      <c r="A165" s="24" t="str">
        <f>IFERROR(__xludf.DUMMYFUNCTION("""COMPUTED_VALUE"""),"Biografia e História das Ciências: debates com a história da historiografia")</f>
        <v>Biografia e História das Ciências: debates com a história da historiografia</v>
      </c>
      <c r="B165" s="24" t="str">
        <f>IFERROR(__xludf.DUMMYFUNCTION("""COMPUTED_VALUE"""),"Helena Miranda Mollo (org.)")</f>
        <v>Helena Miranda Mollo (org.)</v>
      </c>
      <c r="C165" s="24" t="str">
        <f>IFERROR(__xludf.DUMMYFUNCTION("""COMPUTED_VALUE"""),"Ouro Preto")</f>
        <v>Ouro Preto</v>
      </c>
      <c r="D165" s="24" t="str">
        <f>IFERROR(__xludf.DUMMYFUNCTION("""COMPUTED_VALUE"""),"UFOP")</f>
        <v>UFOP</v>
      </c>
      <c r="E165" s="25">
        <f>IFERROR(__xludf.DUMMYFUNCTION("""COMPUTED_VALUE"""),2012.0)</f>
        <v>2012</v>
      </c>
      <c r="F165" s="24" t="str">
        <f>IFERROR(__xludf.DUMMYFUNCTION("""COMPUTED_VALUE"""),"Ciência - Brasil - história. Biografia")</f>
        <v>Ciência - Brasil - história. Biografia</v>
      </c>
      <c r="G165" s="28" t="str">
        <f>IFERROR(__xludf.DUMMYFUNCTION("""COMPUTED_VALUE"""),"9788528802948")</f>
        <v>9788528802948</v>
      </c>
      <c r="H165" s="29" t="str">
        <f>IFERROR(__xludf.DUMMYFUNCTION("""COMPUTED_VALUE"""),"https://www.editora.ufop.br/index.php/editora/catalog/view/35/23/80-1")</f>
        <v>https://www.editora.ufop.br/index.php/editora/catalog/view/35/23/80-1</v>
      </c>
      <c r="I165" s="24" t="str">
        <f>IFERROR(__xludf.DUMMYFUNCTION("""COMPUTED_VALUE"""),"Ciências Humanas")</f>
        <v>Ciências Humanas</v>
      </c>
    </row>
    <row r="166">
      <c r="A166" s="24" t="str">
        <f>IFERROR(__xludf.DUMMYFUNCTION("""COMPUTED_VALUE"""),"Brasil-Portugal: pontes sobre o Atlântico: Múltiplos olhares sobre a e/imigração")</f>
        <v>Brasil-Portugal: pontes sobre o Atlântico: Múltiplos olhares sobre a e/imigração</v>
      </c>
      <c r="B166" s="24" t="str">
        <f>IFERROR(__xludf.DUMMYFUNCTION("""COMPUTED_VALUE"""),"Lená Medeiros de Menezes e Fernando de Sousa (Organização)")</f>
        <v>Lená Medeiros de Menezes e Fernando de Sousa (Organização)</v>
      </c>
      <c r="C166" s="24" t="str">
        <f>IFERROR(__xludf.DUMMYFUNCTION("""COMPUTED_VALUE"""),"Rio de Janeiro")</f>
        <v>Rio de Janeiro</v>
      </c>
      <c r="D166" s="24" t="str">
        <f>IFERROR(__xludf.DUMMYFUNCTION("""COMPUTED_VALUE"""),"EdUERJ")</f>
        <v>EdUERJ</v>
      </c>
      <c r="E166" s="25">
        <f>IFERROR(__xludf.DUMMYFUNCTION("""COMPUTED_VALUE"""),2017.0)</f>
        <v>2017</v>
      </c>
      <c r="F166" s="24" t="str">
        <f>IFERROR(__xludf.DUMMYFUNCTION("""COMPUTED_VALUE"""),"Migração; Brasil; Portugal")</f>
        <v>Migração; Brasil; Portugal</v>
      </c>
      <c r="G166" s="28" t="str">
        <f>IFERROR(__xludf.DUMMYFUNCTION("""COMPUTED_VALUE"""),"9788575114476")</f>
        <v>9788575114476</v>
      </c>
      <c r="H166" s="29" t="str">
        <f>IFERROR(__xludf.DUMMYFUNCTION("""COMPUTED_VALUE"""),"https://www.eduerj.com/eng/?product=brasil-portugal-pontes-sobre-o-atlantico-multiplos-olhares-sobre-a-e-imigracao-ebook")</f>
        <v>https://www.eduerj.com/eng/?product=brasil-portugal-pontes-sobre-o-atlantico-multiplos-olhares-sobre-a-e-imigracao-ebook</v>
      </c>
      <c r="I166" s="24" t="str">
        <f>IFERROR(__xludf.DUMMYFUNCTION("""COMPUTED_VALUE"""),"Ciências Humanas")</f>
        <v>Ciências Humanas</v>
      </c>
    </row>
    <row r="167">
      <c r="A167" s="24" t="str">
        <f>IFERROR(__xludf.DUMMYFUNCTION("""COMPUTED_VALUE"""),"Brazil @openDemocracy (2005-15): fragments of Brazil's recent political history")</f>
        <v>Brazil @openDemocracy (2005-15): fragments of Brazil's recent political history</v>
      </c>
      <c r="B167" s="24" t="str">
        <f>IFERROR(__xludf.DUMMYFUNCTION("""COMPUTED_VALUE"""),"Arthur Ituassu; ")</f>
        <v>Arthur Ituassu; </v>
      </c>
      <c r="C167" s="24" t="str">
        <f>IFERROR(__xludf.DUMMYFUNCTION("""COMPUTED_VALUE"""),"Rio de Janeiro")</f>
        <v>Rio de Janeiro</v>
      </c>
      <c r="D167" s="24" t="str">
        <f>IFERROR(__xludf.DUMMYFUNCTION("""COMPUTED_VALUE"""),"Editora PUC Rio")</f>
        <v>Editora PUC Rio</v>
      </c>
      <c r="E167" s="25">
        <f>IFERROR(__xludf.DUMMYFUNCTION("""COMPUTED_VALUE"""),2016.0)</f>
        <v>2016</v>
      </c>
      <c r="F167" s="24" t="str">
        <f>IFERROR(__xludf.DUMMYFUNCTION("""COMPUTED_VALUE"""),"Democracia - Brasil. Brasil – Política e Governo. Brasil – História – Séc.XXI")</f>
        <v>Democracia - Brasil. Brasil – Política e Governo. Brasil – História – Séc.XXI</v>
      </c>
      <c r="G167" s="28" t="str">
        <f>IFERROR(__xludf.DUMMYFUNCTION("""COMPUTED_VALUE"""),"9788580061925")</f>
        <v>9788580061925</v>
      </c>
      <c r="H167" s="29" t="str">
        <f>IFERROR(__xludf.DUMMYFUNCTION("""COMPUTED_VALUE"""),"http://www.editora.puc-rio.br/media/OpenDemocracy%20completo.pdf")</f>
        <v>http://www.editora.puc-rio.br/media/OpenDemocracy%20completo.pdf</v>
      </c>
      <c r="I167" s="24" t="str">
        <f>IFERROR(__xludf.DUMMYFUNCTION("""COMPUTED_VALUE"""),"Ciências Humanas")</f>
        <v>Ciências Humanas</v>
      </c>
    </row>
    <row r="168">
      <c r="A168" s="24" t="str">
        <f>IFERROR(__xludf.DUMMYFUNCTION("""COMPUTED_VALUE"""),"Cadernos creche UFF: textos de formação e prática")</f>
        <v>Cadernos creche UFF: textos de formação e prática</v>
      </c>
      <c r="B168" s="24" t="str">
        <f>IFERROR(__xludf.DUMMYFUNCTION("""COMPUTED_VALUE"""),"Dominique Colinvaux")</f>
        <v>Dominique Colinvaux</v>
      </c>
      <c r="C168" s="24" t="str">
        <f>IFERROR(__xludf.DUMMYFUNCTION("""COMPUTED_VALUE"""),"Niterói, RJ")</f>
        <v>Niterói, RJ</v>
      </c>
      <c r="D168" s="24" t="str">
        <f>IFERROR(__xludf.DUMMYFUNCTION("""COMPUTED_VALUE"""),"Editora da UFF")</f>
        <v>Editora da UFF</v>
      </c>
      <c r="E168" s="25">
        <f>IFERROR(__xludf.DUMMYFUNCTION("""COMPUTED_VALUE"""),2011.0)</f>
        <v>2011</v>
      </c>
      <c r="F168" s="24" t="str">
        <f>IFERROR(__xludf.DUMMYFUNCTION("""COMPUTED_VALUE"""),"Aprendizado e formação; Educação Infantil")</f>
        <v>Aprendizado e formação; Educação Infantil</v>
      </c>
      <c r="G168" s="28" t="str">
        <f>IFERROR(__xludf.DUMMYFUNCTION("""COMPUTED_VALUE"""),"9788522805563")</f>
        <v>9788522805563</v>
      </c>
      <c r="H168" s="29" t="str">
        <f>IFERROR(__xludf.DUMMYFUNCTION("""COMPUTED_VALUE"""),"http://www.eduff.uff.br/index.php/livros/222-cadernos-creche-uff-textos-de-formacao-e-pratica")</f>
        <v>http://www.eduff.uff.br/index.php/livros/222-cadernos-creche-uff-textos-de-formacao-e-pratica</v>
      </c>
      <c r="I168" s="24" t="str">
        <f>IFERROR(__xludf.DUMMYFUNCTION("""COMPUTED_VALUE"""),"Ciências Humanas")</f>
        <v>Ciências Humanas</v>
      </c>
    </row>
    <row r="169">
      <c r="A169" s="24" t="str">
        <f>IFERROR(__xludf.DUMMYFUNCTION("""COMPUTED_VALUE"""),"Caminhos da liberdade: histórias da abolição e do pós-abolição no Brasil")</f>
        <v>Caminhos da liberdade: histórias da abolição e do pós-abolição no Brasil</v>
      </c>
      <c r="B169" s="24" t="str">
        <f>IFERROR(__xludf.DUMMYFUNCTION("""COMPUTED_VALUE"""),"Martha Abreu e Matheus Serva Pereira (org.)")</f>
        <v>Martha Abreu e Matheus Serva Pereira (org.)</v>
      </c>
      <c r="C169" s="24" t="str">
        <f>IFERROR(__xludf.DUMMYFUNCTION("""COMPUTED_VALUE"""),"Niterói, RJ")</f>
        <v>Niterói, RJ</v>
      </c>
      <c r="D169" s="24" t="str">
        <f>IFERROR(__xludf.DUMMYFUNCTION("""COMPUTED_VALUE"""),"PPGHISTÓRIA-UFF")</f>
        <v>PPGHISTÓRIA-UFF</v>
      </c>
      <c r="E169" s="25">
        <f>IFERROR(__xludf.DUMMYFUNCTION("""COMPUTED_VALUE"""),2011.0)</f>
        <v>2011</v>
      </c>
      <c r="F169" s="24" t="str">
        <f>IFERROR(__xludf.DUMMYFUNCTION("""COMPUTED_VALUE"""),"Escravidão; Abolição da escravatura; Liberdade; Brasil")</f>
        <v>Escravidão; Abolição da escravatura; Liberdade; Brasil</v>
      </c>
      <c r="G169" s="28" t="str">
        <f>IFERROR(__xludf.DUMMYFUNCTION("""COMPUTED_VALUE"""),"9788563735027")</f>
        <v>9788563735027</v>
      </c>
      <c r="H169" s="29" t="str">
        <f>IFERROR(__xludf.DUMMYFUNCTION("""COMPUTED_VALUE"""),"http://www.eduff.uff.br/ebooks/Caminhos-da-liberdade.pdf")</f>
        <v>http://www.eduff.uff.br/ebooks/Caminhos-da-liberdade.pdf</v>
      </c>
      <c r="I169" s="24" t="str">
        <f>IFERROR(__xludf.DUMMYFUNCTION("""COMPUTED_VALUE"""),"Ciências Humanas")</f>
        <v>Ciências Humanas</v>
      </c>
    </row>
    <row r="170">
      <c r="A170" s="24" t="str">
        <f>IFERROR(__xludf.DUMMYFUNCTION("""COMPUTED_VALUE"""),"Campanhas eleitorais para mulheres: desafios e tendências")</f>
        <v>Campanhas eleitorais para mulheres: desafios e tendências</v>
      </c>
      <c r="B170" s="24" t="str">
        <f>IFERROR(__xludf.DUMMYFUNCTION("""COMPUTED_VALUE"""),"Panke, Luciana")</f>
        <v>Panke, Luciana</v>
      </c>
      <c r="C170" s="24" t="str">
        <f>IFERROR(__xludf.DUMMYFUNCTION("""COMPUTED_VALUE"""),"Curitiba")</f>
        <v>Curitiba</v>
      </c>
      <c r="D170" s="24" t="str">
        <f>IFERROR(__xludf.DUMMYFUNCTION("""COMPUTED_VALUE"""),"UFPR")</f>
        <v>UFPR</v>
      </c>
      <c r="E170" s="25">
        <f>IFERROR(__xludf.DUMMYFUNCTION("""COMPUTED_VALUE"""),2016.0)</f>
        <v>2016</v>
      </c>
      <c r="F170" s="24" t="str">
        <f>IFERROR(__xludf.DUMMYFUNCTION("""COMPUTED_VALUE"""),"Campanha eleitoral; Mulheres na política; Mulheres - participação política")</f>
        <v>Campanha eleitoral; Mulheres na política; Mulheres - participação política</v>
      </c>
      <c r="G170" s="28" t="str">
        <f>IFERROR(__xludf.DUMMYFUNCTION("""COMPUTED_VALUE"""),"9788584800902")</f>
        <v>9788584800902</v>
      </c>
      <c r="H170" s="29" t="str">
        <f>IFERROR(__xludf.DUMMYFUNCTION("""COMPUTED_VALUE"""),"https://hdl.handle.net/1884/68160")</f>
        <v>https://hdl.handle.net/1884/68160</v>
      </c>
      <c r="I170" s="24" t="str">
        <f>IFERROR(__xludf.DUMMYFUNCTION("""COMPUTED_VALUE"""),"Ciências Humanas")</f>
        <v>Ciências Humanas</v>
      </c>
    </row>
    <row r="171">
      <c r="A171" s="24" t="str">
        <f>IFERROR(__xludf.DUMMYFUNCTION("""COMPUTED_VALUE"""),"Campina Grande : Hoje e Amanhã")</f>
        <v>Campina Grande : Hoje e Amanhã</v>
      </c>
      <c r="B171" s="24" t="str">
        <f>IFERROR(__xludf.DUMMYFUNCTION("""COMPUTED_VALUE"""),"Antonio Guedes Rangel Junior; Cidoval Morais de Sousa (org.)")</f>
        <v>Antonio Guedes Rangel Junior; Cidoval Morais de Sousa (org.)</v>
      </c>
      <c r="C171" s="24" t="str">
        <f>IFERROR(__xludf.DUMMYFUNCTION("""COMPUTED_VALUE"""),"Campina Grande")</f>
        <v>Campina Grande</v>
      </c>
      <c r="D171" s="24" t="str">
        <f>IFERROR(__xludf.DUMMYFUNCTION("""COMPUTED_VALUE"""),"EDUEPB")</f>
        <v>EDUEPB</v>
      </c>
      <c r="E171" s="25">
        <f>IFERROR(__xludf.DUMMYFUNCTION("""COMPUTED_VALUE"""),2014.0)</f>
        <v>2014</v>
      </c>
      <c r="F171" s="24" t="str">
        <f>IFERROR(__xludf.DUMMYFUNCTION("""COMPUTED_VALUE"""),"Campina Grande. Aspectos econômicos e sociais. Espaço rural. História")</f>
        <v>Campina Grande. Aspectos econômicos e sociais. Espaço rural. História</v>
      </c>
      <c r="G171" s="28" t="str">
        <f>IFERROR(__xludf.DUMMYFUNCTION("""COMPUTED_VALUE"""),"9788578791704")</f>
        <v>9788578791704</v>
      </c>
      <c r="H171" s="29" t="str">
        <f>IFERROR(__xludf.DUMMYFUNCTION("""COMPUTED_VALUE"""),"http://eduepb.uepb.edu.br/download/campina-grande-hoje-e-amanha/?wpdmdl=164&amp;amp;masterkey=5af996d3c3dfd")</f>
        <v>http://eduepb.uepb.edu.br/download/campina-grande-hoje-e-amanha/?wpdmdl=164&amp;amp;masterkey=5af996d3c3dfd</v>
      </c>
      <c r="I171" s="24" t="str">
        <f>IFERROR(__xludf.DUMMYFUNCTION("""COMPUTED_VALUE"""),"Ciências Humanas")</f>
        <v>Ciências Humanas</v>
      </c>
    </row>
    <row r="172">
      <c r="A172" s="24" t="str">
        <f>IFERROR(__xludf.DUMMYFUNCTION("""COMPUTED_VALUE"""),"Campina Grande Hoje e Amanhã : 2ª edição")</f>
        <v>Campina Grande Hoje e Amanhã : 2ª edição</v>
      </c>
      <c r="B172" s="24" t="str">
        <f>IFERROR(__xludf.DUMMYFUNCTION("""COMPUTED_VALUE"""),"Antonio Guedes Rangel Junior; Cidoval Morais de Sousa (org.)")</f>
        <v>Antonio Guedes Rangel Junior; Cidoval Morais de Sousa (org.)</v>
      </c>
      <c r="C172" s="24" t="str">
        <f>IFERROR(__xludf.DUMMYFUNCTION("""COMPUTED_VALUE"""),"Campina Grande")</f>
        <v>Campina Grande</v>
      </c>
      <c r="D172" s="24" t="str">
        <f>IFERROR(__xludf.DUMMYFUNCTION("""COMPUTED_VALUE"""),"EDUEPB")</f>
        <v>EDUEPB</v>
      </c>
      <c r="E172" s="25">
        <f>IFERROR(__xludf.DUMMYFUNCTION("""COMPUTED_VALUE"""),2014.0)</f>
        <v>2014</v>
      </c>
      <c r="F172" s="24" t="str">
        <f>IFERROR(__xludf.DUMMYFUNCTION("""COMPUTED_VALUE"""),"Campina Grande. Aspectos econômicos e sociais. Espaço rural. História")</f>
        <v>Campina Grande. Aspectos econômicos e sociais. Espaço rural. História</v>
      </c>
      <c r="G172" s="28" t="str">
        <f>IFERROR(__xludf.DUMMYFUNCTION("""COMPUTED_VALUE"""),"9788578791704")</f>
        <v>9788578791704</v>
      </c>
      <c r="H172" s="29" t="str">
        <f>IFERROR(__xludf.DUMMYFUNCTION("""COMPUTED_VALUE"""),"http://eduepb.uepb.edu.br/download/campina-grande-hoje-e-amanha-2a-edicao/?wpdmdl=165&amp;amp;masterkey=5af996f9cc88d")</f>
        <v>http://eduepb.uepb.edu.br/download/campina-grande-hoje-e-amanha-2a-edicao/?wpdmdl=165&amp;amp;masterkey=5af996f9cc88d</v>
      </c>
      <c r="I172" s="24" t="str">
        <f>IFERROR(__xludf.DUMMYFUNCTION("""COMPUTED_VALUE"""),"Ciências Humanas")</f>
        <v>Ciências Humanas</v>
      </c>
    </row>
    <row r="173">
      <c r="A173" s="24" t="str">
        <f>IFERROR(__xludf.DUMMYFUNCTION("""COMPUTED_VALUE"""),"Campus Ibirama: Ensino, Pesquisa e Extensão – Ano III")</f>
        <v>Campus Ibirama: Ensino, Pesquisa e Extensão – Ano III</v>
      </c>
      <c r="B173" s="24" t="str">
        <f>IFERROR(__xludf.DUMMYFUNCTION("""COMPUTED_VALUE"""),"Douglas Hörner, Kathia Mariane Fehsenfeld, Rafael Andrade, Sônia Schappo Imhof")</f>
        <v>Douglas Hörner, Kathia Mariane Fehsenfeld, Rafael Andrade, Sônia Schappo Imhof</v>
      </c>
      <c r="C173" s="24" t="str">
        <f>IFERROR(__xludf.DUMMYFUNCTION("""COMPUTED_VALUE"""),"Blumenau")</f>
        <v>Blumenau</v>
      </c>
      <c r="D173" s="24" t="str">
        <f>IFERROR(__xludf.DUMMYFUNCTION("""COMPUTED_VALUE"""),"Instituto Federal Catarinense")</f>
        <v>Instituto Federal Catarinense</v>
      </c>
      <c r="E173" s="25">
        <f>IFERROR(__xludf.DUMMYFUNCTION("""COMPUTED_VALUE"""),2019.0)</f>
        <v>2019</v>
      </c>
      <c r="F173" s="24" t="str">
        <f>IFERROR(__xludf.DUMMYFUNCTION("""COMPUTED_VALUE"""),"Ensino - pesquisa. Ensino - extensão. Ensino técnico. Ensino superior")</f>
        <v>Ensino - pesquisa. Ensino - extensão. Ensino técnico. Ensino superior</v>
      </c>
      <c r="G173" s="28" t="str">
        <f>IFERROR(__xludf.DUMMYFUNCTION("""COMPUTED_VALUE"""),"9788556440471")</f>
        <v>9788556440471</v>
      </c>
      <c r="H173" s="29" t="str">
        <f>IFERROR(__xludf.DUMMYFUNCTION("""COMPUTED_VALUE"""),"https://editora.ifc.edu.br/2020/02/28/campus-ibirama-ensino-pesquisa-e-extensao-ano-iii/")</f>
        <v>https://editora.ifc.edu.br/2020/02/28/campus-ibirama-ensino-pesquisa-e-extensao-ano-iii/</v>
      </c>
      <c r="I173" s="24" t="str">
        <f>IFERROR(__xludf.DUMMYFUNCTION("""COMPUTED_VALUE"""),"Ciências Humanas")</f>
        <v>Ciências Humanas</v>
      </c>
    </row>
    <row r="174">
      <c r="A174" s="24" t="str">
        <f>IFERROR(__xludf.DUMMYFUNCTION("""COMPUTED_VALUE"""),"Candomblés: encruzilhadas de ideias")</f>
        <v>Candomblés: encruzilhadas de ideias</v>
      </c>
      <c r="B174" s="24" t="str">
        <f>IFERROR(__xludf.DUMMYFUNCTION("""COMPUTED_VALUE"""),"Estélio Gomberg, Ana Cristina de Souza Mandarino (org.)")</f>
        <v>Estélio Gomberg, Ana Cristina de Souza Mandarino (org.)</v>
      </c>
      <c r="C174" s="24" t="str">
        <f>IFERROR(__xludf.DUMMYFUNCTION("""COMPUTED_VALUE"""),"Salvador")</f>
        <v>Salvador</v>
      </c>
      <c r="D174" s="24" t="str">
        <f>IFERROR(__xludf.DUMMYFUNCTION("""COMPUTED_VALUE"""),"EDUFBA")</f>
        <v>EDUFBA</v>
      </c>
      <c r="E174" s="25">
        <f>IFERROR(__xludf.DUMMYFUNCTION("""COMPUTED_VALUE"""),2015.0)</f>
        <v>2015</v>
      </c>
      <c r="F174" s="24" t="str">
        <f>IFERROR(__xludf.DUMMYFUNCTION("""COMPUTED_VALUE"""),"Candomblé; Rituais; Simbologismo; Cultos afro-brasileiros")</f>
        <v>Candomblé; Rituais; Simbologismo; Cultos afro-brasileiros</v>
      </c>
      <c r="G174" s="28" t="str">
        <f>IFERROR(__xludf.DUMMYFUNCTION("""COMPUTED_VALUE"""),"9788523214135")</f>
        <v>9788523214135</v>
      </c>
      <c r="H174" s="29" t="str">
        <f>IFERROR(__xludf.DUMMYFUNCTION("""COMPUTED_VALUE"""),"http://repositorio.ufba.br/ri/handle/ri/18224")</f>
        <v>http://repositorio.ufba.br/ri/handle/ri/18224</v>
      </c>
      <c r="I174" s="24" t="str">
        <f>IFERROR(__xludf.DUMMYFUNCTION("""COMPUTED_VALUE"""),"Ciências Humanas")</f>
        <v>Ciências Humanas</v>
      </c>
    </row>
    <row r="175">
      <c r="A175" s="24" t="str">
        <f>IFERROR(__xludf.DUMMYFUNCTION("""COMPUTED_VALUE"""),"Capitalismo verde e transgressões: Amazônia no espelho de Caliban")</f>
        <v>Capitalismo verde e transgressões: Amazônia no espelho de Caliban</v>
      </c>
      <c r="B175" s="24" t="str">
        <f>IFERROR(__xludf.DUMMYFUNCTION("""COMPUTED_VALUE"""),"Elder Andrade de Paula")</f>
        <v>Elder Andrade de Paula</v>
      </c>
      <c r="C175" s="24" t="str">
        <f>IFERROR(__xludf.DUMMYFUNCTION("""COMPUTED_VALUE"""),"Dourados, MS")</f>
        <v>Dourados, MS</v>
      </c>
      <c r="D175" s="24" t="str">
        <f>IFERROR(__xludf.DUMMYFUNCTION("""COMPUTED_VALUE"""),"Editora da UFGD")</f>
        <v>Editora da UFGD</v>
      </c>
      <c r="E175" s="25">
        <f>IFERROR(__xludf.DUMMYFUNCTION("""COMPUTED_VALUE"""),2013.0)</f>
        <v>2013</v>
      </c>
      <c r="F175" s="24" t="str">
        <f>IFERROR(__xludf.DUMMYFUNCTION("""COMPUTED_VALUE"""),"Capitalismo – Brasil; Geopolítica; Fronteiras (Brasil-Bolívia-Peru)")</f>
        <v>Capitalismo – Brasil; Geopolítica; Fronteiras (Brasil-Bolívia-Peru)</v>
      </c>
      <c r="G175" s="28" t="str">
        <f>IFERROR(__xludf.DUMMYFUNCTION("""COMPUTED_VALUE"""),"9788581470559")</f>
        <v>9788581470559</v>
      </c>
      <c r="H175" s="29" t="str">
        <f>IFERROR(__xludf.DUMMYFUNCTION("""COMPUTED_VALUE"""),"http://omp.ufgd.edu.br/omp/index.php/livrosabertos/catalog/view/61/65/220-1")</f>
        <v>http://omp.ufgd.edu.br/omp/index.php/livrosabertos/catalog/view/61/65/220-1</v>
      </c>
      <c r="I175" s="24" t="str">
        <f>IFERROR(__xludf.DUMMYFUNCTION("""COMPUTED_VALUE"""),"Ciências Humanas")</f>
        <v>Ciências Humanas</v>
      </c>
    </row>
    <row r="176">
      <c r="A176" s="24" t="str">
        <f>IFERROR(__xludf.DUMMYFUNCTION("""COMPUTED_VALUE"""),"Cartas para pensar políticas de pesquisa em Psicologia")</f>
        <v>Cartas para pensar políticas de pesquisa em Psicologia</v>
      </c>
      <c r="B176" s="24" t="str">
        <f>IFERROR(__xludf.DUMMYFUNCTION("""COMPUTED_VALUE"""),"Gilead Marchezi Tavares, Marcia Moraes, Anita Guazzelli Bernardes (org.))")</f>
        <v>Gilead Marchezi Tavares, Marcia Moraes, Anita Guazzelli Bernardes (org.))</v>
      </c>
      <c r="C176" s="24" t="str">
        <f>IFERROR(__xludf.DUMMYFUNCTION("""COMPUTED_VALUE"""),"Vitória")</f>
        <v>Vitória</v>
      </c>
      <c r="D176" s="24" t="str">
        <f>IFERROR(__xludf.DUMMYFUNCTION("""COMPUTED_VALUE"""),"EDUFES")</f>
        <v>EDUFES</v>
      </c>
      <c r="E176" s="25">
        <f>IFERROR(__xludf.DUMMYFUNCTION("""COMPUTED_VALUE"""),2014.0)</f>
        <v>2014</v>
      </c>
      <c r="F176" s="24" t="str">
        <f>IFERROR(__xludf.DUMMYFUNCTION("""COMPUTED_VALUE"""),"Psicologia; Subjetividade; Pesquisa; Ciências sociais; Filosofia")</f>
        <v>Psicologia; Subjetividade; Pesquisa; Ciências sociais; Filosofia</v>
      </c>
      <c r="G176" s="28" t="str">
        <f>IFERROR(__xludf.DUMMYFUNCTION("""COMPUTED_VALUE"""),"9788577722075")</f>
        <v>9788577722075</v>
      </c>
      <c r="H176" s="29" t="str">
        <f>IFERROR(__xludf.DUMMYFUNCTION("""COMPUTED_VALUE"""),"http://repositorio.ufes.br/bitstream/10/1630/1/Cartas%20para%20pensar%20politicas%20de%20pesquisa%20em%20psicologia.pdf")</f>
        <v>http://repositorio.ufes.br/bitstream/10/1630/1/Cartas%20para%20pensar%20politicas%20de%20pesquisa%20em%20psicologia.pdf</v>
      </c>
      <c r="I176" s="24" t="str">
        <f>IFERROR(__xludf.DUMMYFUNCTION("""COMPUTED_VALUE"""),"Ciências Humanas")</f>
        <v>Ciências Humanas</v>
      </c>
    </row>
    <row r="177">
      <c r="A177" s="24" t="str">
        <f>IFERROR(__xludf.DUMMYFUNCTION("""COMPUTED_VALUE"""),"Cartilha de Extensão")</f>
        <v>Cartilha de Extensão</v>
      </c>
      <c r="B177" s="24" t="str">
        <f>IFERROR(__xludf.DUMMYFUNCTION("""COMPUTED_VALUE"""),"Ceretta, Luciane Bisognin; Lopes, Gisele Silveira Coelho; Vieira, Reginaldo de Souza; Cardoso, Ana Lúcia; Schwalm, Mágada Tessmann; Guimarães, Milla Lúcia Ferreira; Pádula, Miquele Lazarin; Saleh, Sheila Martignago")</f>
        <v>Ceretta, Luciane Bisognin; Lopes, Gisele Silveira Coelho; Vieira, Reginaldo de Souza; Cardoso, Ana Lúcia; Schwalm, Mágada Tessmann; Guimarães, Milla Lúcia Ferreira; Pádula, Miquele Lazarin; Saleh, Sheila Martignago</v>
      </c>
      <c r="C177" s="24" t="str">
        <f>IFERROR(__xludf.DUMMYFUNCTION("""COMPUTED_VALUE"""),"Criciúma")</f>
        <v>Criciúma</v>
      </c>
      <c r="D177" s="24" t="str">
        <f>IFERROR(__xludf.DUMMYFUNCTION("""COMPUTED_VALUE"""),"Unesc")</f>
        <v>Unesc</v>
      </c>
      <c r="E177" s="25">
        <f>IFERROR(__xludf.DUMMYFUNCTION("""COMPUTED_VALUE"""),2016.0)</f>
        <v>2016</v>
      </c>
      <c r="F177" s="24" t="str">
        <f>IFERROR(__xludf.DUMMYFUNCTION("""COMPUTED_VALUE"""),"Universidade comunitária; Extensão universitária; Ensino superior")</f>
        <v>Universidade comunitária; Extensão universitária; Ensino superior</v>
      </c>
      <c r="G177" s="26"/>
      <c r="H177" s="29" t="str">
        <f>IFERROR(__xludf.DUMMYFUNCTION("""COMPUTED_VALUE"""),"http://repositorio.unesc.net/handle/1/4951")</f>
        <v>http://repositorio.unesc.net/handle/1/4951</v>
      </c>
      <c r="I177" s="24" t="str">
        <f>IFERROR(__xludf.DUMMYFUNCTION("""COMPUTED_VALUE"""),"Ciências Humanas")</f>
        <v>Ciências Humanas</v>
      </c>
    </row>
    <row r="178">
      <c r="A178" s="24" t="str">
        <f>IFERROR(__xludf.DUMMYFUNCTION("""COMPUTED_VALUE"""),"Cartografia do desassossego: o encontro entre os psicólogos e o campo jurídico ")</f>
        <v>Cartografia do desassossego: o encontro entre os psicólogos e o campo jurídico </v>
      </c>
      <c r="B178" s="24" t="str">
        <f>IFERROR(__xludf.DUMMYFUNCTION("""COMPUTED_VALUE"""),"Ana Claudia Camuri")</f>
        <v>Ana Claudia Camuri</v>
      </c>
      <c r="C178" s="24" t="str">
        <f>IFERROR(__xludf.DUMMYFUNCTION("""COMPUTED_VALUE"""),"Niterói, RJ")</f>
        <v>Niterói, RJ</v>
      </c>
      <c r="D178" s="24" t="str">
        <f>IFERROR(__xludf.DUMMYFUNCTION("""COMPUTED_VALUE"""),"EDUFF")</f>
        <v>EDUFF</v>
      </c>
      <c r="E178" s="25">
        <f>IFERROR(__xludf.DUMMYFUNCTION("""COMPUTED_VALUE"""),2012.0)</f>
        <v>2012</v>
      </c>
      <c r="F178" s="24" t="str">
        <f>IFERROR(__xludf.DUMMYFUNCTION("""COMPUTED_VALUE"""),"Psicologia jurídica; Psicanálise; Filosofia; Direito")</f>
        <v>Psicologia jurídica; Psicanálise; Filosofia; Direito</v>
      </c>
      <c r="G178" s="28" t="str">
        <f>IFERROR(__xludf.DUMMYFUNCTION("""COMPUTED_VALUE"""),"9788522807390")</f>
        <v>9788522807390</v>
      </c>
      <c r="H178" s="29" t="str">
        <f>IFERROR(__xludf.DUMMYFUNCTION("""COMPUTED_VALUE"""),"http://www.eduff.uff.br/index.php/livros/38-cartografia-do-desassossego-o-encontro-entre-os-psicologos-e-o-campo-juridico")</f>
        <v>http://www.eduff.uff.br/index.php/livros/38-cartografia-do-desassossego-o-encontro-entre-os-psicologos-e-o-campo-juridico</v>
      </c>
      <c r="I178" s="24" t="str">
        <f>IFERROR(__xludf.DUMMYFUNCTION("""COMPUTED_VALUE"""),"Ciências Humanas")</f>
        <v>Ciências Humanas</v>
      </c>
    </row>
    <row r="179">
      <c r="A179" s="24" t="str">
        <f>IFERROR(__xludf.DUMMYFUNCTION("""COMPUTED_VALUE"""),"Casa de Rui Barbosa: resumo histórico de suas atividades")</f>
        <v>Casa de Rui Barbosa: resumo histórico de suas atividades</v>
      </c>
      <c r="B179" s="24" t="str">
        <f>IFERROR(__xludf.DUMMYFUNCTION("""COMPUTED_VALUE"""),"REGINA MONTEIRO REAL")</f>
        <v>REGINA MONTEIRO REAL</v>
      </c>
      <c r="C179" s="24" t="str">
        <f>IFERROR(__xludf.DUMMYFUNCTION("""COMPUTED_VALUE"""),"Rio de Janeiro")</f>
        <v>Rio de Janeiro</v>
      </c>
      <c r="D179" s="24" t="str">
        <f>IFERROR(__xludf.DUMMYFUNCTION("""COMPUTED_VALUE"""),"Fundação Casa de Rui Barbosa")</f>
        <v>Fundação Casa de Rui Barbosa</v>
      </c>
      <c r="E179" s="25">
        <f>IFERROR(__xludf.DUMMYFUNCTION("""COMPUTED_VALUE"""),1957.0)</f>
        <v>1957</v>
      </c>
      <c r="F179" s="24" t="str">
        <f>IFERROR(__xludf.DUMMYFUNCTION("""COMPUTED_VALUE"""),"Biografia")</f>
        <v>Biografia</v>
      </c>
      <c r="G179" s="26"/>
      <c r="H179" s="29" t="str">
        <f>IFERROR(__xludf.DUMMYFUNCTION("""COMPUTED_VALUE"""),"http://www.casaruibarbosa.gov.br/arquivos/file/Casa%20de%20Rui%20Barbosa%20-%20Resumo%20de%20suas%20Atividades%20OCR.pdf")</f>
        <v>http://www.casaruibarbosa.gov.br/arquivos/file/Casa%20de%20Rui%20Barbosa%20-%20Resumo%20de%20suas%20Atividades%20OCR.pdf</v>
      </c>
      <c r="I179" s="24" t="str">
        <f>IFERROR(__xludf.DUMMYFUNCTION("""COMPUTED_VALUE"""),"Ciências Humanas")</f>
        <v>Ciências Humanas</v>
      </c>
    </row>
    <row r="180">
      <c r="A180" s="24" t="str">
        <f>IFERROR(__xludf.DUMMYFUNCTION("""COMPUTED_VALUE"""),"Casa de Vereança de Mariana: 300 anos de História da Câmara Municipal")</f>
        <v>Casa de Vereança de Mariana: 300 anos de História da Câmara Municipal</v>
      </c>
      <c r="B180" s="24" t="str">
        <f>IFERROR(__xludf.DUMMYFUNCTION("""COMPUTED_VALUE"""),"Cláudia Maria das Graças Chaves, Maria do Carmo Pires, Sônia Maria de Magalhães, organizadoras")</f>
        <v>Cláudia Maria das Graças Chaves, Maria do Carmo Pires, Sônia Maria de Magalhães, organizadoras</v>
      </c>
      <c r="C180" s="24" t="str">
        <f>IFERROR(__xludf.DUMMYFUNCTION("""COMPUTED_VALUE"""),"Ouro Preto")</f>
        <v>Ouro Preto</v>
      </c>
      <c r="D180" s="24" t="str">
        <f>IFERROR(__xludf.DUMMYFUNCTION("""COMPUTED_VALUE"""),"UFOP")</f>
        <v>UFOP</v>
      </c>
      <c r="E180" s="25">
        <f>IFERROR(__xludf.DUMMYFUNCTION("""COMPUTED_VALUE"""),2012.0)</f>
        <v>2012</v>
      </c>
      <c r="F180" s="24" t="str">
        <f>IFERROR(__xludf.DUMMYFUNCTION("""COMPUTED_VALUE"""),"Brasil – História – Império. Brasil – História – Colônia. Brasil – História – República")</f>
        <v>Brasil – História – Império. Brasil – História – Colônia. Brasil – História – República</v>
      </c>
      <c r="G180" s="28" t="str">
        <f>IFERROR(__xludf.DUMMYFUNCTION("""COMPUTED_VALUE"""),"9788528802900")</f>
        <v>9788528802900</v>
      </c>
      <c r="H180" s="29" t="str">
        <f>IFERROR(__xludf.DUMMYFUNCTION("""COMPUTED_VALUE"""),"https://www.editora.ufop.br/index.php/editora/catalog/view/36/24/83-1")</f>
        <v>https://www.editora.ufop.br/index.php/editora/catalog/view/36/24/83-1</v>
      </c>
      <c r="I180" s="24" t="str">
        <f>IFERROR(__xludf.DUMMYFUNCTION("""COMPUTED_VALUE"""),"Ciências Humanas")</f>
        <v>Ciências Humanas</v>
      </c>
    </row>
    <row r="181">
      <c r="A181" s="24" t="str">
        <f>IFERROR(__xludf.DUMMYFUNCTION("""COMPUTED_VALUE"""),"Caso Ismene Mendes: o legado classista, machista e fascista da ditadura civil-militar")</f>
        <v>Caso Ismene Mendes: o legado classista, machista e fascista da ditadura civil-militar</v>
      </c>
      <c r="B181" s="24" t="str">
        <f>IFERROR(__xludf.DUMMYFUNCTION("""COMPUTED_VALUE"""),"Pesquisadores-autores: Amanda Pereira Macedo Bárbara Souza de Andrade Esther Faria Rodrigues José Carlos Cunha Muniz Filho José Renato Resende Luis Otavio Canevazzi Luiz Fellippe de Assunção Fagaráz Marina Rodrigues Goulart Neiva Flavia de Oliveira")</f>
        <v>Pesquisadores-autores: Amanda Pereira Macedo Bárbara Souza de Andrade Esther Faria Rodrigues José Carlos Cunha Muniz Filho José Renato Resende Luis Otavio Canevazzi Luiz Fellippe de Assunção Fagaráz Marina Rodrigues Goulart Neiva Flavia de Oliveira</v>
      </c>
      <c r="C181" s="24" t="str">
        <f>IFERROR(__xludf.DUMMYFUNCTION("""COMPUTED_VALUE"""),"Uberlândia")</f>
        <v>Uberlândia</v>
      </c>
      <c r="D181" s="24" t="str">
        <f>IFERROR(__xludf.DUMMYFUNCTION("""COMPUTED_VALUE"""),"EDUFU")</f>
        <v>EDUFU</v>
      </c>
      <c r="E181" s="25">
        <f>IFERROR(__xludf.DUMMYFUNCTION("""COMPUTED_VALUE"""),2016.0)</f>
        <v>2016</v>
      </c>
      <c r="F181" s="24" t="str">
        <f>IFERROR(__xludf.DUMMYFUNCTION("""COMPUTED_VALUE"""),"Brasil - Política e governo - 1964-1985; Governo militar - Brasil; Mendes, Ismene, 1956-1985. I. Comissão Nacional da Verdade (Brasil). II. Título")</f>
        <v>Brasil - Política e governo - 1964-1985; Governo militar - Brasil; Mendes, Ismene, 1956-1985. I. Comissão Nacional da Verdade (Brasil). II. Título</v>
      </c>
      <c r="G181" s="28" t="str">
        <f>IFERROR(__xludf.DUMMYFUNCTION("""COMPUTED_VALUE"""),"9788570784490")</f>
        <v>9788570784490</v>
      </c>
      <c r="H181" s="29" t="str">
        <f>IFERROR(__xludf.DUMMYFUNCTION("""COMPUTED_VALUE"""),"http://www.edufu.ufu.br/sites/edufu.ufu.br/files/e-book_comissao_nac_verdade_2016_0.pdf")</f>
        <v>http://www.edufu.ufu.br/sites/edufu.ufu.br/files/e-book_comissao_nac_verdade_2016_0.pdf</v>
      </c>
      <c r="I181" s="24" t="str">
        <f>IFERROR(__xludf.DUMMYFUNCTION("""COMPUTED_VALUE"""),"Ciências Humanas")</f>
        <v>Ciências Humanas</v>
      </c>
    </row>
    <row r="182">
      <c r="A182" s="24" t="str">
        <f>IFERROR(__xludf.DUMMYFUNCTION("""COMPUTED_VALUE"""),"Cidadania no discurso da modernidade: uma interpelação à razão comunicativa ")</f>
        <v>Cidadania no discurso da modernidade: uma interpelação à razão comunicativa </v>
      </c>
      <c r="B182" s="24" t="str">
        <f>IFERROR(__xludf.DUMMYFUNCTION("""COMPUTED_VALUE"""),"Norma Lúcia Vídero Vieira Santos")</f>
        <v>Norma Lúcia Vídero Vieira Santos</v>
      </c>
      <c r="C182" s="24" t="str">
        <f>IFERROR(__xludf.DUMMYFUNCTION("""COMPUTED_VALUE"""),"Ilhéus, BA")</f>
        <v>Ilhéus, BA</v>
      </c>
      <c r="D182" s="24" t="str">
        <f>IFERROR(__xludf.DUMMYFUNCTION("""COMPUTED_VALUE"""),"Editus")</f>
        <v>Editus</v>
      </c>
      <c r="E182" s="25">
        <f>IFERROR(__xludf.DUMMYFUNCTION("""COMPUTED_VALUE"""),2003.0)</f>
        <v>2003</v>
      </c>
      <c r="F182" s="24" t="str">
        <f>IFERROR(__xludf.DUMMYFUNCTION("""COMPUTED_VALUE"""),"Educação – Filosofia; Comunicativa – Filosofia. Criticismo; (Filosofia)")</f>
        <v>Educação – Filosofia; Comunicativa – Filosofia. Criticismo; (Filosofia)</v>
      </c>
      <c r="G182" s="28" t="str">
        <f>IFERROR(__xludf.DUMMYFUNCTION("""COMPUTED_VALUE"""),"857455071X")</f>
        <v>857455071X</v>
      </c>
      <c r="H182" s="29" t="str">
        <f>IFERROR(__xludf.DUMMYFUNCTION("""COMPUTED_VALUE"""),"http://www.uesc.br/editora/livrosdigitais2015/cidadania_discurso_modernidade.pdf")</f>
        <v>http://www.uesc.br/editora/livrosdigitais2015/cidadania_discurso_modernidade.pdf</v>
      </c>
      <c r="I182" s="24" t="str">
        <f>IFERROR(__xludf.DUMMYFUNCTION("""COMPUTED_VALUE"""),"Ciências Humanas")</f>
        <v>Ciências Humanas</v>
      </c>
    </row>
    <row r="183">
      <c r="A183" s="24" t="str">
        <f>IFERROR(__xludf.DUMMYFUNCTION("""COMPUTED_VALUE"""),"Cidadania, movimentos sociais e religião: abordagens contemporâneas")</f>
        <v>Cidadania, movimentos sociais e religião: abordagens contemporâneas</v>
      </c>
      <c r="B183" s="24" t="str">
        <f>IFERROR(__xludf.DUMMYFUNCTION("""COMPUTED_VALUE"""),"João Marcus Figueiredo Assis e Denise dos Santos Rodrigues (orgs.)")</f>
        <v>João Marcus Figueiredo Assis e Denise dos Santos Rodrigues (orgs.)</v>
      </c>
      <c r="C183" s="24" t="str">
        <f>IFERROR(__xludf.DUMMYFUNCTION("""COMPUTED_VALUE"""),"Rio de Janeiro")</f>
        <v>Rio de Janeiro</v>
      </c>
      <c r="D183" s="24" t="str">
        <f>IFERROR(__xludf.DUMMYFUNCTION("""COMPUTED_VALUE"""),"EdUERJ")</f>
        <v>EdUERJ</v>
      </c>
      <c r="E183" s="25">
        <f>IFERROR(__xludf.DUMMYFUNCTION("""COMPUTED_VALUE"""),2013.0)</f>
        <v>2013</v>
      </c>
      <c r="F183" s="24" t="str">
        <f>IFERROR(__xludf.DUMMYFUNCTION("""COMPUTED_VALUE"""),"Movimentos sociais; Igreja; Problemas sociais ")</f>
        <v>Movimentos sociais; Igreja; Problemas sociais </v>
      </c>
      <c r="G183" s="28" t="str">
        <f>IFERROR(__xludf.DUMMYFUNCTION("""COMPUTED_VALUE"""),"9788575113035")</f>
        <v>9788575113035</v>
      </c>
      <c r="H183" s="29" t="str">
        <f>IFERROR(__xludf.DUMMYFUNCTION("""COMPUTED_VALUE"""),"https://www.eduerj.com/eng/?product=cidadania-movimentos-sociais-e-religiao-abordagens-contemporaneas-ebook")</f>
        <v>https://www.eduerj.com/eng/?product=cidadania-movimentos-sociais-e-religiao-abordagens-contemporaneas-ebook</v>
      </c>
      <c r="I183" s="24" t="str">
        <f>IFERROR(__xludf.DUMMYFUNCTION("""COMPUTED_VALUE"""),"Ciências Humanas")</f>
        <v>Ciências Humanas</v>
      </c>
    </row>
    <row r="184">
      <c r="A184" s="24" t="str">
        <f>IFERROR(__xludf.DUMMYFUNCTION("""COMPUTED_VALUE"""),"Cidade atelier: poéticas sociais e ações artísticas na Amazônia")</f>
        <v>Cidade atelier: poéticas sociais e ações artísticas na Amazônia</v>
      </c>
      <c r="B184" s="24" t="str">
        <f>IFERROR(__xludf.DUMMYFUNCTION("""COMPUTED_VALUE"""),"Silvia Marques")</f>
        <v>Silvia Marques</v>
      </c>
      <c r="C184" s="24" t="str">
        <f>IFERROR(__xludf.DUMMYFUNCTION("""COMPUTED_VALUE"""),"Macapá")</f>
        <v>Macapá</v>
      </c>
      <c r="D184" s="24" t="str">
        <f>IFERROR(__xludf.DUMMYFUNCTION("""COMPUTED_VALUE"""),"UNIFAP")</f>
        <v>UNIFAP</v>
      </c>
      <c r="E184" s="25">
        <f>IFERROR(__xludf.DUMMYFUNCTION("""COMPUTED_VALUE"""),2019.0)</f>
        <v>2019</v>
      </c>
      <c r="F184" s="24" t="str">
        <f>IFERROR(__xludf.DUMMYFUNCTION("""COMPUTED_VALUE"""),"Ações Artísticas; Macapá; Amazônia")</f>
        <v>Ações Artísticas; Macapá; Amazônia</v>
      </c>
      <c r="G184" s="28" t="str">
        <f>IFERROR(__xludf.DUMMYFUNCTION("""COMPUTED_VALUE"""),"9788554760687")</f>
        <v>9788554760687</v>
      </c>
      <c r="H184" s="29" t="str">
        <f>IFERROR(__xludf.DUMMYFUNCTION("""COMPUTED_VALUE"""),"https://www2.unifap.br/editora/files/2019/06/cidade-atelier.pdf")</f>
        <v>https://www2.unifap.br/editora/files/2019/06/cidade-atelier.pdf</v>
      </c>
      <c r="I184" s="24" t="str">
        <f>IFERROR(__xludf.DUMMYFUNCTION("""COMPUTED_VALUE"""),"Ciências Humanas")</f>
        <v>Ciências Humanas</v>
      </c>
    </row>
    <row r="185">
      <c r="A185" s="24" t="str">
        <f>IFERROR(__xludf.DUMMYFUNCTION("""COMPUTED_VALUE"""),"Ciência e liberdade: escritos sobre ciência e educação no Brasil")</f>
        <v>Ciência e liberdade: escritos sobre ciência e educação no Brasil</v>
      </c>
      <c r="B185" s="24" t="str">
        <f>IFERROR(__xludf.DUMMYFUNCTION("""COMPUTED_VALUE"""),"José Leite Lopes")</f>
        <v>José Leite Lopes</v>
      </c>
      <c r="C185" s="24" t="str">
        <f>IFERROR(__xludf.DUMMYFUNCTION("""COMPUTED_VALUE"""),"Rio de Janeiro")</f>
        <v>Rio de Janeiro</v>
      </c>
      <c r="D185" s="24" t="str">
        <f>IFERROR(__xludf.DUMMYFUNCTION("""COMPUTED_VALUE"""),"Editora UFRJ")</f>
        <v>Editora UFRJ</v>
      </c>
      <c r="E185" s="25">
        <f>IFERROR(__xludf.DUMMYFUNCTION("""COMPUTED_VALUE"""),1998.0)</f>
        <v>1998</v>
      </c>
      <c r="F185" s="24" t="str">
        <f>IFERROR(__xludf.DUMMYFUNCTION("""COMPUTED_VALUE"""),"Ciência; Brasil; Educação")</f>
        <v>Ciência; Brasil; Educação</v>
      </c>
      <c r="G185" s="28" t="str">
        <f>IFERROR(__xludf.DUMMYFUNCTION("""COMPUTED_VALUE"""),"857108212X")</f>
        <v>857108212X</v>
      </c>
      <c r="H185" s="29" t="str">
        <f>IFERROR(__xludf.DUMMYFUNCTION("""COMPUTED_VALUE"""),"http://www.editora.ufrj.br/DynamicItems/livrosabertos-1/Cienciaeliberdade_JoseLeiteLopes_compressed.pdf")</f>
        <v>http://www.editora.ufrj.br/DynamicItems/livrosabertos-1/Cienciaeliberdade_JoseLeiteLopes_compressed.pdf</v>
      </c>
      <c r="I185" s="24" t="str">
        <f>IFERROR(__xludf.DUMMYFUNCTION("""COMPUTED_VALUE"""),"Ciências Humanas")</f>
        <v>Ciências Humanas</v>
      </c>
    </row>
    <row r="186">
      <c r="A186" s="24" t="str">
        <f>IFERROR(__xludf.DUMMYFUNCTION("""COMPUTED_VALUE"""),"Ciência e público: caminhos da divulgação científica no Brasil")</f>
        <v>Ciência e público: caminhos da divulgação científica no Brasil</v>
      </c>
      <c r="B186" s="24" t="str">
        <f>IFERROR(__xludf.DUMMYFUNCTION("""COMPUTED_VALUE"""),"Organização e apresentação de Luisa Massarani, Ildeu de Castro Moreira e Fatima Brito")</f>
        <v>Organização e apresentação de Luisa Massarani, Ildeu de Castro Moreira e Fatima Brito</v>
      </c>
      <c r="C186" s="24" t="str">
        <f>IFERROR(__xludf.DUMMYFUNCTION("""COMPUTED_VALUE"""),"Rio de Janeiro")</f>
        <v>Rio de Janeiro</v>
      </c>
      <c r="D186" s="24" t="str">
        <f>IFERROR(__xludf.DUMMYFUNCTION("""COMPUTED_VALUE"""),"Editora UFRJ")</f>
        <v>Editora UFRJ</v>
      </c>
      <c r="E186" s="25">
        <f>IFERROR(__xludf.DUMMYFUNCTION("""COMPUTED_VALUE"""),2002.0)</f>
        <v>2002</v>
      </c>
      <c r="F186" s="24" t="str">
        <f>IFERROR(__xludf.DUMMYFUNCTION("""COMPUTED_VALUE"""),"Divulgação científica; Popularização da ciência; Ciência")</f>
        <v>Divulgação científica; Popularização da ciência; Ciência</v>
      </c>
      <c r="G186" s="28" t="str">
        <f>IFERROR(__xludf.DUMMYFUNCTION("""COMPUTED_VALUE"""),"8589229017")</f>
        <v>8589229017</v>
      </c>
      <c r="H186" s="29" t="str">
        <f>IFERROR(__xludf.DUMMYFUNCTION("""COMPUTED_VALUE"""),"http://www.editora.ufrj.br/DynamicItems/livrosabertos-1/Ciencia-e-Publico.pdf")</f>
        <v>http://www.editora.ufrj.br/DynamicItems/livrosabertos-1/Ciencia-e-Publico.pdf</v>
      </c>
      <c r="I186" s="24" t="str">
        <f>IFERROR(__xludf.DUMMYFUNCTION("""COMPUTED_VALUE"""),"Ciências Humanas")</f>
        <v>Ciências Humanas</v>
      </c>
    </row>
    <row r="187">
      <c r="A187" s="24" t="str">
        <f>IFERROR(__xludf.DUMMYFUNCTION("""COMPUTED_VALUE"""),"Ciências Humanas: resultados dos projetos de iniciação científica da Universidade Federal do Amapá (2012-2016) ")</f>
        <v>Ciências Humanas: resultados dos projetos de iniciação científica da Universidade Federal do Amapá (2012-2016) </v>
      </c>
      <c r="B187" s="24" t="str">
        <f>IFERROR(__xludf.DUMMYFUNCTION("""COMPUTED_VALUE"""),"Organização de Alaan Ubaiara Brito, Cris Evelin da Costa Dalmácio e Helena Cristina Guimarães Queiroz Simões")</f>
        <v>Organização de Alaan Ubaiara Brito, Cris Evelin da Costa Dalmácio e Helena Cristina Guimarães Queiroz Simões</v>
      </c>
      <c r="C187" s="24" t="str">
        <f>IFERROR(__xludf.DUMMYFUNCTION("""COMPUTED_VALUE"""),"Macapá")</f>
        <v>Macapá</v>
      </c>
      <c r="D187" s="24" t="str">
        <f>IFERROR(__xludf.DUMMYFUNCTION("""COMPUTED_VALUE"""),"UNIFAP")</f>
        <v>UNIFAP</v>
      </c>
      <c r="E187" s="25">
        <f>IFERROR(__xludf.DUMMYFUNCTION("""COMPUTED_VALUE"""),2017.0)</f>
        <v>2017</v>
      </c>
      <c r="F187" s="24" t="str">
        <f>IFERROR(__xludf.DUMMYFUNCTION("""COMPUTED_VALUE"""),"Ciências Humanas; Geografia; Cartografia; Estado")</f>
        <v>Ciências Humanas; Geografia; Cartografia; Estado</v>
      </c>
      <c r="G187" s="28" t="str">
        <f>IFERROR(__xludf.DUMMYFUNCTION("""COMPUTED_VALUE"""),"9788562359651")</f>
        <v>9788562359651</v>
      </c>
      <c r="H187" s="29" t="str">
        <f>IFERROR(__xludf.DUMMYFUNCTION("""COMPUTED_VALUE"""),"https://www2.unifap.br/editora/files/2014/12/Livro-CH-finalizado.pdf")</f>
        <v>https://www2.unifap.br/editora/files/2014/12/Livro-CH-finalizado.pdf</v>
      </c>
      <c r="I187" s="24" t="str">
        <f>IFERROR(__xludf.DUMMYFUNCTION("""COMPUTED_VALUE"""),"Ciências Humanas")</f>
        <v>Ciências Humanas</v>
      </c>
    </row>
    <row r="188">
      <c r="A188" s="24" t="str">
        <f>IFERROR(__xludf.DUMMYFUNCTION("""COMPUTED_VALUE"""),"Ciganos: olhares e perspectivas (disponível temporariamente)")</f>
        <v>Ciganos: olhares e perspectivas (disponível temporariamente)</v>
      </c>
      <c r="B188" s="24" t="str">
        <f>IFERROR(__xludf.DUMMYFUNCTION("""COMPUTED_VALUE"""),"Maria Patrícia Lopes Goldfarb, Marcos Toyansk, Luciana de Oliveira (organizadores). ")</f>
        <v>Maria Patrícia Lopes Goldfarb, Marcos Toyansk, Luciana de Oliveira (organizadores). </v>
      </c>
      <c r="C188" s="24" t="str">
        <f>IFERROR(__xludf.DUMMYFUNCTION("""COMPUTED_VALUE"""),"João Pessoa")</f>
        <v>João Pessoa</v>
      </c>
      <c r="D188" s="24" t="str">
        <f>IFERROR(__xludf.DUMMYFUNCTION("""COMPUTED_VALUE"""),"Editora da UFPB")</f>
        <v>Editora da UFPB</v>
      </c>
      <c r="E188" s="25">
        <f>IFERROR(__xludf.DUMMYFUNCTION("""COMPUTED_VALUE"""),2019.0)</f>
        <v>2019</v>
      </c>
      <c r="F188" s="24" t="str">
        <f>IFERROR(__xludf.DUMMYFUNCTION("""COMPUTED_VALUE"""),"Costumes; Tradições; Identidade cigana; Ciganos ")</f>
        <v>Costumes; Tradições; Identidade cigana; Ciganos </v>
      </c>
      <c r="G188" s="28" t="str">
        <f>IFERROR(__xludf.DUMMYFUNCTION("""COMPUTED_VALUE"""),"9788523713935")</f>
        <v>9788523713935</v>
      </c>
      <c r="H188" s="29" t="str">
        <f>IFERROR(__xludf.DUMMYFUNCTION("""COMPUTED_VALUE"""),"http://www.editora.ufpb.br/sistema/press5/index.php/UFPB/catalog/book/341")</f>
        <v>http://www.editora.ufpb.br/sistema/press5/index.php/UFPB/catalog/book/341</v>
      </c>
      <c r="I188" s="24" t="str">
        <f>IFERROR(__xludf.DUMMYFUNCTION("""COMPUTED_VALUE"""),"Ciências Humanas")</f>
        <v>Ciências Humanas</v>
      </c>
    </row>
    <row r="189">
      <c r="A189" s="24" t="str">
        <f>IFERROR(__xludf.DUMMYFUNCTION("""COMPUTED_VALUE"""),"Circuito de experiências: tecnologias, metodologias e avanços na extensão universitária para o desenvolvimento social v. 2")</f>
        <v>Circuito de experiências: tecnologias, metodologias e avanços na extensão universitária para o desenvolvimento social v. 2</v>
      </c>
      <c r="B189" s="24" t="str">
        <f>IFERROR(__xludf.DUMMYFUNCTION("""COMPUTED_VALUE"""),"Sandra Rufino,Thiago Nogueira (org.)")</f>
        <v>Sandra Rufino,Thiago Nogueira (org.)</v>
      </c>
      <c r="C189" s="24" t="str">
        <f>IFERROR(__xludf.DUMMYFUNCTION("""COMPUTED_VALUE"""),"Ouro Preto")</f>
        <v>Ouro Preto</v>
      </c>
      <c r="D189" s="24" t="str">
        <f>IFERROR(__xludf.DUMMYFUNCTION("""COMPUTED_VALUE"""),"UFOP")</f>
        <v>UFOP</v>
      </c>
      <c r="E189" s="25">
        <f>IFERROR(__xludf.DUMMYFUNCTION("""COMPUTED_VALUE"""),2013.0)</f>
        <v>2013</v>
      </c>
      <c r="F189" s="24" t="str">
        <f>IFERROR(__xludf.DUMMYFUNCTION("""COMPUTED_VALUE"""),"Desenvolvimento social. Engenharia. Educação. Solidariedade. Socialização")</f>
        <v>Desenvolvimento social. Engenharia. Educação. Solidariedade. Socialização</v>
      </c>
      <c r="G189" s="28" t="str">
        <f>IFERROR(__xludf.DUMMYFUNCTION("""COMPUTED_VALUE"""),"9788528803280")</f>
        <v>9788528803280</v>
      </c>
      <c r="H189" s="29" t="str">
        <f>IFERROR(__xludf.DUMMYFUNCTION("""COMPUTED_VALUE"""),"https://www.editora.ufop.br/index.php/editora/catalog/view/118/93/301-1")</f>
        <v>https://www.editora.ufop.br/index.php/editora/catalog/view/118/93/301-1</v>
      </c>
      <c r="I189" s="24" t="str">
        <f>IFERROR(__xludf.DUMMYFUNCTION("""COMPUTED_VALUE"""),"Ciências Humanas")</f>
        <v>Ciências Humanas</v>
      </c>
    </row>
    <row r="190">
      <c r="A190" s="24" t="str">
        <f>IFERROR(__xludf.DUMMYFUNCTION("""COMPUTED_VALUE"""),"Circuito de experiências: tecnologias, metodologias e avanços na extensão universitária para o desenvolvimento social v.1")</f>
        <v>Circuito de experiências: tecnologias, metodologias e avanços na extensão universitária para o desenvolvimento social v.1</v>
      </c>
      <c r="B190" s="24" t="str">
        <f>IFERROR(__xludf.DUMMYFUNCTION("""COMPUTED_VALUE"""),"Sandra Rufino,Thiago Nogueira (org.)")</f>
        <v>Sandra Rufino,Thiago Nogueira (org.)</v>
      </c>
      <c r="C190" s="24" t="str">
        <f>IFERROR(__xludf.DUMMYFUNCTION("""COMPUTED_VALUE"""),"Ouro Preto")</f>
        <v>Ouro Preto</v>
      </c>
      <c r="D190" s="24" t="str">
        <f>IFERROR(__xludf.DUMMYFUNCTION("""COMPUTED_VALUE"""),"UFOP")</f>
        <v>UFOP</v>
      </c>
      <c r="E190" s="25">
        <f>IFERROR(__xludf.DUMMYFUNCTION("""COMPUTED_VALUE"""),2011.0)</f>
        <v>2011</v>
      </c>
      <c r="F190" s="24" t="str">
        <f>IFERROR(__xludf.DUMMYFUNCTION("""COMPUTED_VALUE"""),"Desenvolvimento social. Engenharia. Educação. Solidariedade. Socialização")</f>
        <v>Desenvolvimento social. Engenharia. Educação. Solidariedade. Socialização</v>
      </c>
      <c r="G190" s="28" t="str">
        <f>IFERROR(__xludf.DUMMYFUNCTION("""COMPUTED_VALUE"""),"9788528802870")</f>
        <v>9788528802870</v>
      </c>
      <c r="H190" s="29" t="str">
        <f>IFERROR(__xludf.DUMMYFUNCTION("""COMPUTED_VALUE"""),"https://www.editora.ufop.br/index.php/editora/catalog/view/55/40/132-1")</f>
        <v>https://www.editora.ufop.br/index.php/editora/catalog/view/55/40/132-1</v>
      </c>
      <c r="I190" s="24" t="str">
        <f>IFERROR(__xludf.DUMMYFUNCTION("""COMPUTED_VALUE"""),"Ciências Humanas")</f>
        <v>Ciências Humanas</v>
      </c>
    </row>
    <row r="191">
      <c r="A191" s="24" t="str">
        <f>IFERROR(__xludf.DUMMYFUNCTION("""COMPUTED_VALUE"""),"Classes comunitárias pré-técnicas e pré-profissionais")</f>
        <v>Classes comunitárias pré-técnicas e pré-profissionais</v>
      </c>
      <c r="B191" s="24" t="str">
        <f>IFERROR(__xludf.DUMMYFUNCTION("""COMPUTED_VALUE"""),"José Carmelo Braz de Carvalho; Merise Santos de Carvalho; (organizadores)")</f>
        <v>José Carmelo Braz de Carvalho; Merise Santos de Carvalho; (organizadores)</v>
      </c>
      <c r="C191" s="24" t="str">
        <f>IFERROR(__xludf.DUMMYFUNCTION("""COMPUTED_VALUE"""),"Rio de Janeiro")</f>
        <v>Rio de Janeiro</v>
      </c>
      <c r="D191" s="24" t="str">
        <f>IFERROR(__xludf.DUMMYFUNCTION("""COMPUTED_VALUE"""),"Editora PUC Rio")</f>
        <v>Editora PUC Rio</v>
      </c>
      <c r="E191" s="25">
        <f>IFERROR(__xludf.DUMMYFUNCTION("""COMPUTED_VALUE"""),2009.0)</f>
        <v>2009</v>
      </c>
      <c r="F191" s="24" t="str">
        <f>IFERROR(__xludf.DUMMYFUNCTION("""COMPUTED_VALUE"""),"Ensino profissional. Ensino técnico. Sociologia educacional")</f>
        <v>Ensino profissional. Ensino técnico. Sociologia educacional</v>
      </c>
      <c r="G191" s="28" t="str">
        <f>IFERROR(__xludf.DUMMYFUNCTION("""COMPUTED_VALUE"""),"9788587926364")</f>
        <v>9788587926364</v>
      </c>
      <c r="H191" s="29" t="str">
        <f>IFERROR(__xludf.DUMMYFUNCTION("""COMPUTED_VALUE"""),"http://www.editora.puc-rio.br/media/ebook_classes-com-pre-tec-prof.pdf")</f>
        <v>http://www.editora.puc-rio.br/media/ebook_classes-com-pre-tec-prof.pdf</v>
      </c>
      <c r="I191" s="24" t="str">
        <f>IFERROR(__xludf.DUMMYFUNCTION("""COMPUTED_VALUE"""),"Ciências Humanas")</f>
        <v>Ciências Humanas</v>
      </c>
    </row>
    <row r="192">
      <c r="A192" s="24" t="str">
        <f>IFERROR(__xludf.DUMMYFUNCTION("""COMPUTED_VALUE"""),"Classes comunitárias pré-técnicas: a construção de seus projetos político-pedagógicos")</f>
        <v>Classes comunitárias pré-técnicas: a construção de seus projetos político-pedagógicos</v>
      </c>
      <c r="B192" s="24" t="str">
        <f>IFERROR(__xludf.DUMMYFUNCTION("""COMPUTED_VALUE"""),"José Carmelo Braz de Carvalho; Merise Santos de Carvalho; (organizadores)")</f>
        <v>José Carmelo Braz de Carvalho; Merise Santos de Carvalho; (organizadores)</v>
      </c>
      <c r="C192" s="24" t="str">
        <f>IFERROR(__xludf.DUMMYFUNCTION("""COMPUTED_VALUE"""),"Rio de Janeiro")</f>
        <v>Rio de Janeiro</v>
      </c>
      <c r="D192" s="24" t="str">
        <f>IFERROR(__xludf.DUMMYFUNCTION("""COMPUTED_VALUE"""),"Editora PUC Rio")</f>
        <v>Editora PUC Rio</v>
      </c>
      <c r="E192" s="25">
        <f>IFERROR(__xludf.DUMMYFUNCTION("""COMPUTED_VALUE"""),2010.0)</f>
        <v>2010</v>
      </c>
      <c r="F192" s="24" t="str">
        <f>IFERROR(__xludf.DUMMYFUNCTION("""COMPUTED_VALUE"""),"Projetos político-pedagógico")</f>
        <v>Projetos político-pedagógico</v>
      </c>
      <c r="G192" s="28" t="str">
        <f>IFERROR(__xludf.DUMMYFUNCTION("""COMPUTED_VALUE"""),"9788580060805")</f>
        <v>9788580060805</v>
      </c>
      <c r="H192" s="29" t="str">
        <f>IFERROR(__xludf.DUMMYFUNCTION("""COMPUTED_VALUE"""),"http://www.editora.puc-rio.br/media/ebook_classes-com-pre-tec-pol.pdf")</f>
        <v>http://www.editora.puc-rio.br/media/ebook_classes-com-pre-tec-pol.pdf</v>
      </c>
      <c r="I192" s="24" t="str">
        <f>IFERROR(__xludf.DUMMYFUNCTION("""COMPUTED_VALUE"""),"Ciências Humanas")</f>
        <v>Ciências Humanas</v>
      </c>
    </row>
    <row r="193">
      <c r="A193" s="24" t="str">
        <f>IFERROR(__xludf.DUMMYFUNCTION("""COMPUTED_VALUE"""),"Clio-Psyché: Discursos e Práticas na História da Psicologia")</f>
        <v>Clio-Psyché: Discursos e Práticas na História da Psicologia</v>
      </c>
      <c r="B193" s="24" t="str">
        <f>IFERROR(__xludf.DUMMYFUNCTION("""COMPUTED_VALUE"""),"organização Ana Maria Jacó-Vilela, Dayse de Marie Oliveira")</f>
        <v>organização Ana Maria Jacó-Vilela, Dayse de Marie Oliveira</v>
      </c>
      <c r="C193" s="24" t="str">
        <f>IFERROR(__xludf.DUMMYFUNCTION("""COMPUTED_VALUE"""),"Rio de Janeiro")</f>
        <v>Rio de Janeiro</v>
      </c>
      <c r="D193" s="24" t="str">
        <f>IFERROR(__xludf.DUMMYFUNCTION("""COMPUTED_VALUE"""),"EdUERJ")</f>
        <v>EdUERJ</v>
      </c>
      <c r="E193" s="25">
        <f>IFERROR(__xludf.DUMMYFUNCTION("""COMPUTED_VALUE"""),2018.0)</f>
        <v>2018</v>
      </c>
      <c r="F193" s="24" t="str">
        <f>IFERROR(__xludf.DUMMYFUNCTION("""COMPUTED_VALUE"""),"Psicologia; Formação profissional; Psicólogos; Treinamento")</f>
        <v>Psicologia; Formação profissional; Psicólogos; Treinamento</v>
      </c>
      <c r="G193" s="28" t="str">
        <f>IFERROR(__xludf.DUMMYFUNCTION("""COMPUTED_VALUE"""),"9788575114544")</f>
        <v>9788575114544</v>
      </c>
      <c r="H193" s="29" t="str">
        <f>IFERROR(__xludf.DUMMYFUNCTION("""COMPUTED_VALUE"""),"https://www.eduerj.com/eng/?product=clio-psyche-discursos-e-praticas-na-historia-da-psicologia-ebook")</f>
        <v>https://www.eduerj.com/eng/?product=clio-psyche-discursos-e-praticas-na-historia-da-psicologia-ebook</v>
      </c>
      <c r="I193" s="24" t="str">
        <f>IFERROR(__xludf.DUMMYFUNCTION("""COMPUTED_VALUE"""),"Ciências Humanas")</f>
        <v>Ciências Humanas</v>
      </c>
    </row>
    <row r="194">
      <c r="A194" s="24" t="str">
        <f>IFERROR(__xludf.DUMMYFUNCTION("""COMPUTED_VALUE"""),"Clio-Psyché: discursos e práticas na história da psicologia ")</f>
        <v>Clio-Psyché: discursos e práticas na história da psicologia </v>
      </c>
      <c r="B194" s="24" t="str">
        <f>IFERROR(__xludf.DUMMYFUNCTION("""COMPUTED_VALUE"""),"organização Ana Maria Jacó-Vilela, Dayse de Marie Oliveira.")</f>
        <v>organização Ana Maria Jacó-Vilela, Dayse de Marie Oliveira.</v>
      </c>
      <c r="C194" s="24" t="str">
        <f>IFERROR(__xludf.DUMMYFUNCTION("""COMPUTED_VALUE"""),"Rio de Janeiro, RJ")</f>
        <v>Rio de Janeiro, RJ</v>
      </c>
      <c r="D194" s="24" t="str">
        <f>IFERROR(__xludf.DUMMYFUNCTION("""COMPUTED_VALUE"""),"EdUERJ")</f>
        <v>EdUERJ</v>
      </c>
      <c r="E194" s="25">
        <f>IFERROR(__xludf.DUMMYFUNCTION("""COMPUTED_VALUE"""),2018.0)</f>
        <v>2018</v>
      </c>
      <c r="F194" s="24" t="str">
        <f>IFERROR(__xludf.DUMMYFUNCTION("""COMPUTED_VALUE"""),"Psicologia - Brasil - História; Formação profissional; Psicólogos - Treinamento")</f>
        <v>Psicologia - Brasil - História; Formação profissional; Psicólogos - Treinamento</v>
      </c>
      <c r="G194" s="28" t="str">
        <f>IFERROR(__xludf.DUMMYFUNCTION("""COMPUTED_VALUE"""),"9788575114544")</f>
        <v>9788575114544</v>
      </c>
      <c r="H194" s="29" t="str">
        <f>IFERROR(__xludf.DUMMYFUNCTION("""COMPUTED_VALUE"""),"http://books.scielo.org/id/27bn3/pdf/jaco-9788575114988.pdf")</f>
        <v>http://books.scielo.org/id/27bn3/pdf/jaco-9788575114988.pdf</v>
      </c>
      <c r="I194" s="24" t="str">
        <f>IFERROR(__xludf.DUMMYFUNCTION("""COMPUTED_VALUE"""),"Ciências Humanas")</f>
        <v>Ciências Humanas</v>
      </c>
    </row>
    <row r="195">
      <c r="A195" s="24" t="str">
        <f>IFERROR(__xludf.DUMMYFUNCTION("""COMPUTED_VALUE"""),"Cognição e aprendizagem em mundo virtual imersivo")</f>
        <v>Cognição e aprendizagem em mundo virtual imersivo</v>
      </c>
      <c r="B195" s="24" t="str">
        <f>IFERROR(__xludf.DUMMYFUNCTION("""COMPUTED_VALUE"""),"Tarouco, Liane Margarida Rockenbach; Silva, Patrícia Fernanda da; Herpich, Fabrício ")</f>
        <v>Tarouco, Liane Margarida Rockenbach; Silva, Patrícia Fernanda da; Herpich, Fabrício </v>
      </c>
      <c r="C195" s="24" t="str">
        <f>IFERROR(__xludf.DUMMYFUNCTION("""COMPUTED_VALUE"""),"Porto Alegre")</f>
        <v>Porto Alegre</v>
      </c>
      <c r="D195" s="24" t="str">
        <f>IFERROR(__xludf.DUMMYFUNCTION("""COMPUTED_VALUE"""),"UFRGS")</f>
        <v>UFRGS</v>
      </c>
      <c r="E195" s="25">
        <f>IFERROR(__xludf.DUMMYFUNCTION("""COMPUTED_VALUE"""),2020.0)</f>
        <v>2020</v>
      </c>
      <c r="F195" s="24" t="str">
        <f>IFERROR(__xludf.DUMMYFUNCTION("""COMPUTED_VALUE"""),"Ambiente virtual de aprendizagem; Informática na educação; Laboratório virtual; Tecnologia educacional")</f>
        <v>Ambiente virtual de aprendizagem; Informática na educação; Laboratório virtual; Tecnologia educacional</v>
      </c>
      <c r="G195" s="28" t="str">
        <f>IFERROR(__xludf.DUMMYFUNCTION("""COMPUTED_VALUE"""),"9786557250013")</f>
        <v>9786557250013</v>
      </c>
      <c r="H195" s="29" t="str">
        <f>IFERROR(__xludf.DUMMYFUNCTION("""COMPUTED_VALUE"""),"http://hdl.handle.net/10183/210290")</f>
        <v>http://hdl.handle.net/10183/210290</v>
      </c>
      <c r="I195" s="24" t="str">
        <f>IFERROR(__xludf.DUMMYFUNCTION("""COMPUTED_VALUE"""),"Ciências Humanas")</f>
        <v>Ciências Humanas</v>
      </c>
    </row>
    <row r="196">
      <c r="A196" s="24" t="str">
        <f>IFERROR(__xludf.DUMMYFUNCTION("""COMPUTED_VALUE"""),"Coleção Educação do Campo: origens da pedagogia da alternância no Brasil")</f>
        <v>Coleção Educação do Campo: origens da pedagogia da alternância no Brasil</v>
      </c>
      <c r="B196" s="24" t="str">
        <f>IFERROR(__xludf.DUMMYFUNCTION("""COMPUTED_VALUE"""),"Paolo Nosella")</f>
        <v>Paolo Nosella</v>
      </c>
      <c r="C196" s="24" t="str">
        <f>IFERROR(__xludf.DUMMYFUNCTION("""COMPUTED_VALUE"""),"Vitória")</f>
        <v>Vitória</v>
      </c>
      <c r="D196" s="24" t="str">
        <f>IFERROR(__xludf.DUMMYFUNCTION("""COMPUTED_VALUE"""),"EDUFES")</f>
        <v>EDUFES</v>
      </c>
      <c r="E196" s="25">
        <f>IFERROR(__xludf.DUMMYFUNCTION("""COMPUTED_VALUE"""),2012.0)</f>
        <v>2012</v>
      </c>
      <c r="F196" s="24" t="str">
        <f>IFERROR(__xludf.DUMMYFUNCTION("""COMPUTED_VALUE"""),"Educação; Ensino; Educação rural")</f>
        <v>Educação; Ensino; Educação rural</v>
      </c>
      <c r="G196" s="28" t="str">
        <f>IFERROR(__xludf.DUMMYFUNCTION("""COMPUTED_VALUE"""),"9788577722044")</f>
        <v>9788577722044</v>
      </c>
      <c r="H196" s="29" t="str">
        <f>IFERROR(__xludf.DUMMYFUNCTION("""COMPUTED_VALUE"""),"http://repositorio.ufes.br/handle/10/830")</f>
        <v>http://repositorio.ufes.br/handle/10/830</v>
      </c>
      <c r="I196" s="24" t="str">
        <f>IFERROR(__xludf.DUMMYFUNCTION("""COMPUTED_VALUE"""),"Ciências Humanas")</f>
        <v>Ciências Humanas</v>
      </c>
    </row>
    <row r="197">
      <c r="A197" s="24" t="str">
        <f>IFERROR(__xludf.DUMMYFUNCTION("""COMPUTED_VALUE"""),"Coleção história do tempo presente: volume 1")</f>
        <v>Coleção história do tempo presente: volume 1</v>
      </c>
      <c r="B197" s="24" t="str">
        <f>IFERROR(__xludf.DUMMYFUNCTION("""COMPUTED_VALUE"""),"Tiago Siqueira Reis (org.)")</f>
        <v>Tiago Siqueira Reis (org.)</v>
      </c>
      <c r="C197" s="24" t="str">
        <f>IFERROR(__xludf.DUMMYFUNCTION("""COMPUTED_VALUE"""),"Boa Vista ")</f>
        <v>Boa Vista </v>
      </c>
      <c r="D197" s="24" t="str">
        <f>IFERROR(__xludf.DUMMYFUNCTION("""COMPUTED_VALUE"""),"UFRR")</f>
        <v>UFRR</v>
      </c>
      <c r="E197" s="25">
        <f>IFERROR(__xludf.DUMMYFUNCTION("""COMPUTED_VALUE"""),2019.0)</f>
        <v>2019</v>
      </c>
      <c r="F197" s="24" t="str">
        <f>IFERROR(__xludf.DUMMYFUNCTION("""COMPUTED_VALUE"""),"História; Memórias; Narrativas; Produção do conhecimento")</f>
        <v>História; Memórias; Narrativas; Produção do conhecimento</v>
      </c>
      <c r="G197" s="28" t="str">
        <f>IFERROR(__xludf.DUMMYFUNCTION("""COMPUTED_VALUE"""),"9788582882092")</f>
        <v>9788582882092</v>
      </c>
      <c r="H197" s="29" t="str">
        <f>IFERROR(__xludf.DUMMYFUNCTION("""COMPUTED_VALUE"""),"http://ufrr.br/editora/index.php/editais?download=416")</f>
        <v>http://ufrr.br/editora/index.php/editais?download=416</v>
      </c>
      <c r="I197" s="24" t="str">
        <f>IFERROR(__xludf.DUMMYFUNCTION("""COMPUTED_VALUE"""),"Ciências Humanas")</f>
        <v>Ciências Humanas</v>
      </c>
    </row>
    <row r="198">
      <c r="A198" s="24" t="str">
        <f>IFERROR(__xludf.DUMMYFUNCTION("""COMPUTED_VALUE"""),"Coleção história do tempo presente: volume 3")</f>
        <v>Coleção história do tempo presente: volume 3</v>
      </c>
      <c r="B198" s="24" t="str">
        <f>IFERROR(__xludf.DUMMYFUNCTION("""COMPUTED_VALUE"""),"Organizadores; Tiago Siqueira Reis; Carla Monteiro de Souza; Monalisa Pavonne Oliveira; Américo Alves de Lyra Júnior")</f>
        <v>Organizadores; Tiago Siqueira Reis; Carla Monteiro de Souza; Monalisa Pavonne Oliveira; Américo Alves de Lyra Júnior</v>
      </c>
      <c r="C198" s="24" t="str">
        <f>IFERROR(__xludf.DUMMYFUNCTION("""COMPUTED_VALUE"""),"Boa Vista ")</f>
        <v>Boa Vista </v>
      </c>
      <c r="D198" s="24" t="str">
        <f>IFERROR(__xludf.DUMMYFUNCTION("""COMPUTED_VALUE"""),"UFRR")</f>
        <v>UFRR</v>
      </c>
      <c r="E198" s="25">
        <f>IFERROR(__xludf.DUMMYFUNCTION("""COMPUTED_VALUE"""),2020.0)</f>
        <v>2020</v>
      </c>
      <c r="F198" s="24" t="str">
        <f>IFERROR(__xludf.DUMMYFUNCTION("""COMPUTED_VALUE"""),"História; Memórias; Narrativas; Produção do conhecimento")</f>
        <v>História; Memórias; Narrativas; Produção do conhecimento</v>
      </c>
      <c r="G198" s="28" t="str">
        <f>IFERROR(__xludf.DUMMYFUNCTION("""COMPUTED_VALUE"""),"9786586062311")</f>
        <v>9786586062311</v>
      </c>
      <c r="H198" s="29" t="str">
        <f>IFERROR(__xludf.DUMMYFUNCTION("""COMPUTED_VALUE"""),"http://ufrr.br/editora/index.php/editais?download=444")</f>
        <v>http://ufrr.br/editora/index.php/editais?download=444</v>
      </c>
      <c r="I198" s="24" t="str">
        <f>IFERROR(__xludf.DUMMYFUNCTION("""COMPUTED_VALUE"""),"Ciências Humanas")</f>
        <v>Ciências Humanas</v>
      </c>
    </row>
    <row r="199">
      <c r="A199" s="24" t="str">
        <f>IFERROR(__xludf.DUMMYFUNCTION("""COMPUTED_VALUE"""),"Coleção história do tempo presente: volume II")</f>
        <v>Coleção história do tempo presente: volume II</v>
      </c>
      <c r="B199" s="24" t="str">
        <f>IFERROR(__xludf.DUMMYFUNCTION("""COMPUTED_VALUE"""),"Organizadores; Tiago Siqueira Reis; Carla Monteiro de Souza; Monalisa Pavonne Oliveira; Américo Alves de Lyra Júnior")</f>
        <v>Organizadores; Tiago Siqueira Reis; Carla Monteiro de Souza; Monalisa Pavonne Oliveira; Américo Alves de Lyra Júnior</v>
      </c>
      <c r="C199" s="24" t="str">
        <f>IFERROR(__xludf.DUMMYFUNCTION("""COMPUTED_VALUE"""),"Boa Vista ")</f>
        <v>Boa Vista </v>
      </c>
      <c r="D199" s="24" t="str">
        <f>IFERROR(__xludf.DUMMYFUNCTION("""COMPUTED_VALUE"""),"UFRR")</f>
        <v>UFRR</v>
      </c>
      <c r="E199" s="25">
        <f>IFERROR(__xludf.DUMMYFUNCTION("""COMPUTED_VALUE"""),2020.0)</f>
        <v>2020</v>
      </c>
      <c r="F199" s="24" t="str">
        <f>IFERROR(__xludf.DUMMYFUNCTION("""COMPUTED_VALUE"""),"História; Democracia; Migração")</f>
        <v>História; Democracia; Migração</v>
      </c>
      <c r="G199" s="28" t="str">
        <f>IFERROR(__xludf.DUMMYFUNCTION("""COMPUTED_VALUE"""),"9786586062182")</f>
        <v>9786586062182</v>
      </c>
      <c r="H199" s="29" t="str">
        <f>IFERROR(__xludf.DUMMYFUNCTION("""COMPUTED_VALUE"""),"http://ufrr.br/editora/index.php/editais?download=443")</f>
        <v>http://ufrr.br/editora/index.php/editais?download=443</v>
      </c>
      <c r="I199" s="24" t="str">
        <f>IFERROR(__xludf.DUMMYFUNCTION("""COMPUTED_VALUE"""),"Ciências Humanas")</f>
        <v>Ciências Humanas</v>
      </c>
    </row>
    <row r="200">
      <c r="A200" s="24" t="str">
        <f>IFERROR(__xludf.DUMMYFUNCTION("""COMPUTED_VALUE"""),"Coleção Práticas em psicologia escolar: do ensino técnico ao superior - Volume 1")</f>
        <v>Coleção Práticas em psicologia escolar: do ensino técnico ao superior - Volume 1</v>
      </c>
      <c r="B200" s="24" t="str">
        <f>IFERROR(__xludf.DUMMYFUNCTION("""COMPUTED_VALUE"""),"Fauston Negreiros e Marilene Proença Rebello de Souza (org.)")</f>
        <v>Fauston Negreiros e Marilene Proença Rebello de Souza (org.)</v>
      </c>
      <c r="C200" s="24" t="str">
        <f>IFERROR(__xludf.DUMMYFUNCTION("""COMPUTED_VALUE"""),"Teresina")</f>
        <v>Teresina</v>
      </c>
      <c r="D200" s="24" t="str">
        <f>IFERROR(__xludf.DUMMYFUNCTION("""COMPUTED_VALUE"""),"EDUFPI")</f>
        <v>EDUFPI</v>
      </c>
      <c r="E200" s="25">
        <f>IFERROR(__xludf.DUMMYFUNCTION("""COMPUTED_VALUE"""),2017.0)</f>
        <v>2017</v>
      </c>
      <c r="F200" s="24" t="str">
        <f>IFERROR(__xludf.DUMMYFUNCTION("""COMPUTED_VALUE"""),"Psicologia Escolar; Psicólogo; Ensino Técnico; Ensino Superior")</f>
        <v>Psicologia Escolar; Psicólogo; Ensino Técnico; Ensino Superior</v>
      </c>
      <c r="G200" s="28" t="str">
        <f>IFERROR(__xludf.DUMMYFUNCTION("""COMPUTED_VALUE"""),"9788550901169")</f>
        <v>9788550901169</v>
      </c>
      <c r="H200" s="29" t="str">
        <f>IFERROR(__xludf.DUMMYFUNCTION("""COMPUTED_VALUE"""),"https://www.ufpi.br/arquivos_download/arquivos/EDUFPI/VOLUME-01.pdf")</f>
        <v>https://www.ufpi.br/arquivos_download/arquivos/EDUFPI/VOLUME-01.pdf</v>
      </c>
      <c r="I200" s="24" t="str">
        <f>IFERROR(__xludf.DUMMYFUNCTION("""COMPUTED_VALUE"""),"Ciências Humanas")</f>
        <v>Ciências Humanas</v>
      </c>
    </row>
    <row r="201">
      <c r="A201" s="24" t="str">
        <f>IFERROR(__xludf.DUMMYFUNCTION("""COMPUTED_VALUE"""),"Coleção Práticas em psicologia escolar: do ensino técnico ao superior - Volume 10 ")</f>
        <v>Coleção Práticas em psicologia escolar: do ensino técnico ao superior - Volume 10 </v>
      </c>
      <c r="B201" s="24" t="str">
        <f>IFERROR(__xludf.DUMMYFUNCTION("""COMPUTED_VALUE"""),"Fauston Negreiros; Marilene Proença Rebello de Souza (org.)")</f>
        <v>Fauston Negreiros; Marilene Proença Rebello de Souza (org.)</v>
      </c>
      <c r="C201" s="24" t="str">
        <f>IFERROR(__xludf.DUMMYFUNCTION("""COMPUTED_VALUE"""),"Teresina")</f>
        <v>Teresina</v>
      </c>
      <c r="D201" s="24" t="str">
        <f>IFERROR(__xludf.DUMMYFUNCTION("""COMPUTED_VALUE"""),"EDUFPI")</f>
        <v>EDUFPI</v>
      </c>
      <c r="E201" s="25">
        <f>IFERROR(__xludf.DUMMYFUNCTION("""COMPUTED_VALUE"""),2019.0)</f>
        <v>2019</v>
      </c>
      <c r="F201" s="24" t="str">
        <f>IFERROR(__xludf.DUMMYFUNCTION("""COMPUTED_VALUE"""),"Psicologia Escolar; Psicólogo; Ensino; Técnico; Ensino Superior")</f>
        <v>Psicologia Escolar; Psicólogo; Ensino; Técnico; Ensino Superior</v>
      </c>
      <c r="G201" s="28" t="str">
        <f>IFERROR(__xludf.DUMMYFUNCTION("""COMPUTED_VALUE"""),"9788550904689")</f>
        <v>9788550904689</v>
      </c>
      <c r="H201" s="29" t="str">
        <f>IFERROR(__xludf.DUMMYFUNCTION("""COMPUTED_VALUE"""),"https://www.ufpi.br/arquivos_download/arquivos/VOLUME_1020190903151406.pdf")</f>
        <v>https://www.ufpi.br/arquivos_download/arquivos/VOLUME_1020190903151406.pdf</v>
      </c>
      <c r="I201" s="24" t="str">
        <f>IFERROR(__xludf.DUMMYFUNCTION("""COMPUTED_VALUE"""),"Ciências Humanas")</f>
        <v>Ciências Humanas</v>
      </c>
    </row>
    <row r="202">
      <c r="A202" s="24" t="str">
        <f>IFERROR(__xludf.DUMMYFUNCTION("""COMPUTED_VALUE"""),"Coleção Práticas em Psicologia Escolar: do ensino técnico ao superior - Volume 2 ")</f>
        <v>Coleção Práticas em Psicologia Escolar: do ensino técnico ao superior - Volume 2 </v>
      </c>
      <c r="B202" s="24" t="str">
        <f>IFERROR(__xludf.DUMMYFUNCTION("""COMPUTED_VALUE"""),"Fauston Negreiros e Marilene Proença Rebello de Souza (org.)")</f>
        <v>Fauston Negreiros e Marilene Proença Rebello de Souza (org.)</v>
      </c>
      <c r="C202" s="24" t="str">
        <f>IFERROR(__xludf.DUMMYFUNCTION("""COMPUTED_VALUE"""),"Teresina")</f>
        <v>Teresina</v>
      </c>
      <c r="D202" s="24" t="str">
        <f>IFERROR(__xludf.DUMMYFUNCTION("""COMPUTED_VALUE"""),"EDUFPI")</f>
        <v>EDUFPI</v>
      </c>
      <c r="E202" s="25">
        <f>IFERROR(__xludf.DUMMYFUNCTION("""COMPUTED_VALUE"""),2017.0)</f>
        <v>2017</v>
      </c>
      <c r="F202" s="24" t="str">
        <f>IFERROR(__xludf.DUMMYFUNCTION("""COMPUTED_VALUE"""),"Psicologia Escolar; Psicólogo; Ensino Técnico; Ensino Superior")</f>
        <v>Psicologia Escolar; Psicólogo; Ensino Técnico; Ensino Superior</v>
      </c>
      <c r="G202" s="28" t="str">
        <f>IFERROR(__xludf.DUMMYFUNCTION("""COMPUTED_VALUE"""),"9788550901183")</f>
        <v>9788550901183</v>
      </c>
      <c r="H202" s="29" t="str">
        <f>IFERROR(__xludf.DUMMYFUNCTION("""COMPUTED_VALUE"""),"https://www.ufpi.br/arquivos_download/arquivos/EDUFPI/VOLUME-02.pdf")</f>
        <v>https://www.ufpi.br/arquivos_download/arquivos/EDUFPI/VOLUME-02.pdf</v>
      </c>
      <c r="I202" s="24" t="str">
        <f>IFERROR(__xludf.DUMMYFUNCTION("""COMPUTED_VALUE"""),"Ciências Humanas")</f>
        <v>Ciências Humanas</v>
      </c>
    </row>
    <row r="203">
      <c r="A203" s="24" t="str">
        <f>IFERROR(__xludf.DUMMYFUNCTION("""COMPUTED_VALUE"""),"Coleção Práticas em Psicologia Escolar: do ensino técnico ao superior - Volume 3")</f>
        <v>Coleção Práticas em Psicologia Escolar: do ensino técnico ao superior - Volume 3</v>
      </c>
      <c r="B203" s="24" t="str">
        <f>IFERROR(__xludf.DUMMYFUNCTION("""COMPUTED_VALUE"""),"Fauston Negreiros e Marilene Proença Rebello de Souza (org.)")</f>
        <v>Fauston Negreiros e Marilene Proença Rebello de Souza (org.)</v>
      </c>
      <c r="C203" s="24" t="str">
        <f>IFERROR(__xludf.DUMMYFUNCTION("""COMPUTED_VALUE"""),"Teresina")</f>
        <v>Teresina</v>
      </c>
      <c r="D203" s="24" t="str">
        <f>IFERROR(__xludf.DUMMYFUNCTION("""COMPUTED_VALUE"""),"EDUFPI")</f>
        <v>EDUFPI</v>
      </c>
      <c r="E203" s="25">
        <f>IFERROR(__xludf.DUMMYFUNCTION("""COMPUTED_VALUE"""),2017.0)</f>
        <v>2017</v>
      </c>
      <c r="F203" s="24" t="str">
        <f>IFERROR(__xludf.DUMMYFUNCTION("""COMPUTED_VALUE"""),"Psicologia Escolar; Psicólogo; Ensino Técnico; Ensino Superior")</f>
        <v>Psicologia Escolar; Psicólogo; Ensino Técnico; Ensino Superior</v>
      </c>
      <c r="G203" s="28" t="str">
        <f>IFERROR(__xludf.DUMMYFUNCTION("""COMPUTED_VALUE"""),"9788550901206")</f>
        <v>9788550901206</v>
      </c>
      <c r="H203" s="29" t="str">
        <f>IFERROR(__xludf.DUMMYFUNCTION("""COMPUTED_VALUE"""),"https://www.ufpi.br/arquivos_download/arquivos/EDUFPI/VOLUME-03.pdf")</f>
        <v>https://www.ufpi.br/arquivos_download/arquivos/EDUFPI/VOLUME-03.pdf</v>
      </c>
      <c r="I203" s="24" t="str">
        <f>IFERROR(__xludf.DUMMYFUNCTION("""COMPUTED_VALUE"""),"Ciências Humanas")</f>
        <v>Ciências Humanas</v>
      </c>
    </row>
    <row r="204">
      <c r="A204" s="24" t="str">
        <f>IFERROR(__xludf.DUMMYFUNCTION("""COMPUTED_VALUE"""),"Coleção Práticas em Psicologia Escolar: do ensino técnico ao superior - Volume 4 ")</f>
        <v>Coleção Práticas em Psicologia Escolar: do ensino técnico ao superior - Volume 4 </v>
      </c>
      <c r="B204" s="24" t="str">
        <f>IFERROR(__xludf.DUMMYFUNCTION("""COMPUTED_VALUE"""),"Fauston Negreiros e Marilene Proença Rebello de Souza (org.)")</f>
        <v>Fauston Negreiros e Marilene Proença Rebello de Souza (org.)</v>
      </c>
      <c r="C204" s="24" t="str">
        <f>IFERROR(__xludf.DUMMYFUNCTION("""COMPUTED_VALUE"""),"Teresina")</f>
        <v>Teresina</v>
      </c>
      <c r="D204" s="24" t="str">
        <f>IFERROR(__xludf.DUMMYFUNCTION("""COMPUTED_VALUE"""),"EDUFPI")</f>
        <v>EDUFPI</v>
      </c>
      <c r="E204" s="25">
        <f>IFERROR(__xludf.DUMMYFUNCTION("""COMPUTED_VALUE"""),2017.0)</f>
        <v>2017</v>
      </c>
      <c r="F204" s="24" t="str">
        <f>IFERROR(__xludf.DUMMYFUNCTION("""COMPUTED_VALUE"""),"Psicologia Escolar; Psicólogo; Ensino Técnico; Ensino Superior")</f>
        <v>Psicologia Escolar; Psicólogo; Ensino Técnico; Ensino Superior</v>
      </c>
      <c r="G204" s="28" t="str">
        <f>IFERROR(__xludf.DUMMYFUNCTION("""COMPUTED_VALUE"""),"9788550901176")</f>
        <v>9788550901176</v>
      </c>
      <c r="H204" s="29" t="str">
        <f>IFERROR(__xludf.DUMMYFUNCTION("""COMPUTED_VALUE"""),"https://www.ufpi.br/arquivos_download/arquivos/EDUFPI/VOLUME-04.pdf")</f>
        <v>https://www.ufpi.br/arquivos_download/arquivos/EDUFPI/VOLUME-04.pdf</v>
      </c>
      <c r="I204" s="24" t="str">
        <f>IFERROR(__xludf.DUMMYFUNCTION("""COMPUTED_VALUE"""),"Ciências Humanas")</f>
        <v>Ciências Humanas</v>
      </c>
    </row>
    <row r="205">
      <c r="A205" s="24" t="str">
        <f>IFERROR(__xludf.DUMMYFUNCTION("""COMPUTED_VALUE"""),"Coleção Práticas em psicologia escolar: do ensino técnico ao superior - Volume 5")</f>
        <v>Coleção Práticas em psicologia escolar: do ensino técnico ao superior - Volume 5</v>
      </c>
      <c r="B205" s="24" t="str">
        <f>IFERROR(__xludf.DUMMYFUNCTION("""COMPUTED_VALUE"""),"Fauston Negreiros; Marilene Proença Rebello de Souza (org.)")</f>
        <v>Fauston Negreiros; Marilene Proença Rebello de Souza (org.)</v>
      </c>
      <c r="C205" s="24" t="str">
        <f>IFERROR(__xludf.DUMMYFUNCTION("""COMPUTED_VALUE"""),"Teresina")</f>
        <v>Teresina</v>
      </c>
      <c r="D205" s="24" t="str">
        <f>IFERROR(__xludf.DUMMYFUNCTION("""COMPUTED_VALUE"""),"EDUFPI")</f>
        <v>EDUFPI</v>
      </c>
      <c r="E205" s="25">
        <f>IFERROR(__xludf.DUMMYFUNCTION("""COMPUTED_VALUE"""),2018.0)</f>
        <v>2018</v>
      </c>
      <c r="F205" s="24" t="str">
        <f>IFERROR(__xludf.DUMMYFUNCTION("""COMPUTED_VALUE"""),"Psicologia Escolar; Psicólogo; Ensino Técnico; Ensino Superior")</f>
        <v>Psicologia Escolar; Psicólogo; Ensino Técnico; Ensino Superior</v>
      </c>
      <c r="G205" s="28" t="str">
        <f>IFERROR(__xludf.DUMMYFUNCTION("""COMPUTED_VALUE"""),"9788550902920")</f>
        <v>9788550902920</v>
      </c>
      <c r="H205" s="29" t="str">
        <f>IFERROR(__xludf.DUMMYFUNCTION("""COMPUTED_VALUE"""),"https://www.ufpi.br/arquivos_download/arquivos/EDUFPI/VOLUME_-_0520181120151115.pdf")</f>
        <v>https://www.ufpi.br/arquivos_download/arquivos/EDUFPI/VOLUME_-_0520181120151115.pdf</v>
      </c>
      <c r="I205" s="24" t="str">
        <f>IFERROR(__xludf.DUMMYFUNCTION("""COMPUTED_VALUE"""),"Ciências Humanas")</f>
        <v>Ciências Humanas</v>
      </c>
    </row>
    <row r="206">
      <c r="A206" s="24" t="str">
        <f>IFERROR(__xludf.DUMMYFUNCTION("""COMPUTED_VALUE"""),"Coleção Práticas em psicologia escolar: do ensino técnico ao superior - Volume 6")</f>
        <v>Coleção Práticas em psicologia escolar: do ensino técnico ao superior - Volume 6</v>
      </c>
      <c r="B206" s="24" t="str">
        <f>IFERROR(__xludf.DUMMYFUNCTION("""COMPUTED_VALUE"""),"Fauston Negreiros; Marilene Proença Rebello de Souza (org.)")</f>
        <v>Fauston Negreiros; Marilene Proença Rebello de Souza (org.)</v>
      </c>
      <c r="C206" s="24" t="str">
        <f>IFERROR(__xludf.DUMMYFUNCTION("""COMPUTED_VALUE"""),"Teresina")</f>
        <v>Teresina</v>
      </c>
      <c r="D206" s="24" t="str">
        <f>IFERROR(__xludf.DUMMYFUNCTION("""COMPUTED_VALUE"""),"EDUFPI")</f>
        <v>EDUFPI</v>
      </c>
      <c r="E206" s="25">
        <f>IFERROR(__xludf.DUMMYFUNCTION("""COMPUTED_VALUE"""),2018.0)</f>
        <v>2018</v>
      </c>
      <c r="F206" s="24" t="str">
        <f>IFERROR(__xludf.DUMMYFUNCTION("""COMPUTED_VALUE"""),"Psicologia Escolar; Psicólogo; Ensino Técnico; Ensino Superior")</f>
        <v>Psicologia Escolar; Psicólogo; Ensino Técnico; Ensino Superior</v>
      </c>
      <c r="G206" s="28" t="str">
        <f>IFERROR(__xludf.DUMMYFUNCTION("""COMPUTED_VALUE"""),"9788550902937")</f>
        <v>9788550902937</v>
      </c>
      <c r="H206" s="29" t="str">
        <f>IFERROR(__xludf.DUMMYFUNCTION("""COMPUTED_VALUE"""),"https://www.ufpi.br/arquivos_download/arquivos/EDUFPI/VOLUME_-_0620181120151906.pdf")</f>
        <v>https://www.ufpi.br/arquivos_download/arquivos/EDUFPI/VOLUME_-_0620181120151906.pdf</v>
      </c>
      <c r="I206" s="24" t="str">
        <f>IFERROR(__xludf.DUMMYFUNCTION("""COMPUTED_VALUE"""),"Ciências Humanas")</f>
        <v>Ciências Humanas</v>
      </c>
    </row>
    <row r="207">
      <c r="A207" s="24" t="str">
        <f>IFERROR(__xludf.DUMMYFUNCTION("""COMPUTED_VALUE"""),"Coleção Práticas em psicologia escolar: do ensino técnico ao superior - Volume 7")</f>
        <v>Coleção Práticas em psicologia escolar: do ensino técnico ao superior - Volume 7</v>
      </c>
      <c r="B207" s="24" t="str">
        <f>IFERROR(__xludf.DUMMYFUNCTION("""COMPUTED_VALUE"""),"Fauston Negreiros; Marilene Proença Rebello de Souza (org.)")</f>
        <v>Fauston Negreiros; Marilene Proença Rebello de Souza (org.)</v>
      </c>
      <c r="C207" s="24" t="str">
        <f>IFERROR(__xludf.DUMMYFUNCTION("""COMPUTED_VALUE"""),"Teresina")</f>
        <v>Teresina</v>
      </c>
      <c r="D207" s="24" t="str">
        <f>IFERROR(__xludf.DUMMYFUNCTION("""COMPUTED_VALUE"""),"EDUFPI")</f>
        <v>EDUFPI</v>
      </c>
      <c r="E207" s="25">
        <f>IFERROR(__xludf.DUMMYFUNCTION("""COMPUTED_VALUE"""),2018.0)</f>
        <v>2018</v>
      </c>
      <c r="F207" s="24" t="str">
        <f>IFERROR(__xludf.DUMMYFUNCTION("""COMPUTED_VALUE"""),"Psicologia Escolar; Psicólogo; Ensino Técnico; Ensino Superior")</f>
        <v>Psicologia Escolar; Psicólogo; Ensino Técnico; Ensino Superior</v>
      </c>
      <c r="G207" s="28" t="str">
        <f>IFERROR(__xludf.DUMMYFUNCTION("""COMPUTED_VALUE"""),"9788550902944")</f>
        <v>9788550902944</v>
      </c>
      <c r="H207" s="29" t="str">
        <f>IFERROR(__xludf.DUMMYFUNCTION("""COMPUTED_VALUE"""),"https://www.ufpi.br/arquivos_download/arquivos/EDUFPI/VOLUME_-_0720181120152240.pdf")</f>
        <v>https://www.ufpi.br/arquivos_download/arquivos/EDUFPI/VOLUME_-_0720181120152240.pdf</v>
      </c>
      <c r="I207" s="24" t="str">
        <f>IFERROR(__xludf.DUMMYFUNCTION("""COMPUTED_VALUE"""),"Ciências Humanas")</f>
        <v>Ciências Humanas</v>
      </c>
    </row>
    <row r="208">
      <c r="A208" s="24" t="str">
        <f>IFERROR(__xludf.DUMMYFUNCTION("""COMPUTED_VALUE"""),"Coleção Práticas em psicologia escolar: do ensino técnico ao superior - Volume 8")</f>
        <v>Coleção Práticas em psicologia escolar: do ensino técnico ao superior - Volume 8</v>
      </c>
      <c r="B208" s="24" t="str">
        <f>IFERROR(__xludf.DUMMYFUNCTION("""COMPUTED_VALUE"""),"Fauston Negreiros; Marilene Proença Rebello de Souza (org.)")</f>
        <v>Fauston Negreiros; Marilene Proença Rebello de Souza (org.)</v>
      </c>
      <c r="C208" s="24" t="str">
        <f>IFERROR(__xludf.DUMMYFUNCTION("""COMPUTED_VALUE"""),"Teresina")</f>
        <v>Teresina</v>
      </c>
      <c r="D208" s="24" t="str">
        <f>IFERROR(__xludf.DUMMYFUNCTION("""COMPUTED_VALUE"""),"EDUFPI")</f>
        <v>EDUFPI</v>
      </c>
      <c r="E208" s="25">
        <f>IFERROR(__xludf.DUMMYFUNCTION("""COMPUTED_VALUE"""),2018.0)</f>
        <v>2018</v>
      </c>
      <c r="F208" s="24" t="str">
        <f>IFERROR(__xludf.DUMMYFUNCTION("""COMPUTED_VALUE"""),"Psicologia Escolar; Psicólogo; Ensino Técnico; Ensino Superior")</f>
        <v>Psicologia Escolar; Psicólogo; Ensino Técnico; Ensino Superior</v>
      </c>
      <c r="G208" s="28" t="str">
        <f>IFERROR(__xludf.DUMMYFUNCTION("""COMPUTED_VALUE"""),"9788550902951")</f>
        <v>9788550902951</v>
      </c>
      <c r="H208" s="29" t="str">
        <f>IFERROR(__xludf.DUMMYFUNCTION("""COMPUTED_VALUE"""),"https://www.ufpi.br/arquivos_download/arquivos/EDUFPI/VOLUME_-_0820181120152628.pdf")</f>
        <v>https://www.ufpi.br/arquivos_download/arquivos/EDUFPI/VOLUME_-_0820181120152628.pdf</v>
      </c>
      <c r="I208" s="24" t="str">
        <f>IFERROR(__xludf.DUMMYFUNCTION("""COMPUTED_VALUE"""),"Ciências Humanas")</f>
        <v>Ciências Humanas</v>
      </c>
    </row>
    <row r="209">
      <c r="A209" s="24" t="str">
        <f>IFERROR(__xludf.DUMMYFUNCTION("""COMPUTED_VALUE"""),"Coleção Práticas em psicologia escolar: do ensino técnico ao superior - Volume 9 ")</f>
        <v>Coleção Práticas em psicologia escolar: do ensino técnico ao superior - Volume 9 </v>
      </c>
      <c r="B209" s="24" t="str">
        <f>IFERROR(__xludf.DUMMYFUNCTION("""COMPUTED_VALUE"""),"Fauston Negreiros; Marilene Proença Rebello de Souza (org.)")</f>
        <v>Fauston Negreiros; Marilene Proença Rebello de Souza (org.)</v>
      </c>
      <c r="C209" s="24" t="str">
        <f>IFERROR(__xludf.DUMMYFUNCTION("""COMPUTED_VALUE"""),"Teresina")</f>
        <v>Teresina</v>
      </c>
      <c r="D209" s="24" t="str">
        <f>IFERROR(__xludf.DUMMYFUNCTION("""COMPUTED_VALUE"""),"EDUFPI")</f>
        <v>EDUFPI</v>
      </c>
      <c r="E209" s="25">
        <f>IFERROR(__xludf.DUMMYFUNCTION("""COMPUTED_VALUE"""),2019.0)</f>
        <v>2019</v>
      </c>
      <c r="F209" s="24" t="str">
        <f>IFERROR(__xludf.DUMMYFUNCTION("""COMPUTED_VALUE"""),"Psicologia Escolar; Psicólogo; Ensino; Técnico; Ensino Superior")</f>
        <v>Psicologia Escolar; Psicólogo; Ensino; Técnico; Ensino Superior</v>
      </c>
      <c r="G209" s="28" t="str">
        <f>IFERROR(__xludf.DUMMYFUNCTION("""COMPUTED_VALUE"""),"9788550904702")</f>
        <v>9788550904702</v>
      </c>
      <c r="H209" s="29" t="str">
        <f>IFERROR(__xludf.DUMMYFUNCTION("""COMPUTED_VALUE"""),"https://www.ufpi.br/arquivos_download/arquivos/VOLUME_0920190903151209.pdf")</f>
        <v>https://www.ufpi.br/arquivos_download/arquivos/VOLUME_0920190903151209.pdf</v>
      </c>
      <c r="I209" s="24" t="str">
        <f>IFERROR(__xludf.DUMMYFUNCTION("""COMPUTED_VALUE"""),"Ciências Humanas")</f>
        <v>Ciências Humanas</v>
      </c>
    </row>
    <row r="210">
      <c r="A210" s="24" t="str">
        <f>IFERROR(__xludf.DUMMYFUNCTION("""COMPUTED_VALUE"""),"Coletânea a Conferência da Terra: línguas, ritos e protagonismos nos territórios indígenas: educação ambiental, sustentabilidade e território tradicional (Tomo I)")</f>
        <v>Coletânea a Conferência da Terra: línguas, ritos e protagonismos nos territórios indígenas: educação ambiental, sustentabilidade e território tradicional (Tomo I)</v>
      </c>
      <c r="B210" s="24" t="str">
        <f>IFERROR(__xludf.DUMMYFUNCTION("""COMPUTED_VALUE"""),"Antonio Tolrino de Rezende Veras; Lúcio Keury Almeida Galdino; Giovanni de Farias Seabra (org.) ")</f>
        <v>Antonio Tolrino de Rezende Veras; Lúcio Keury Almeida Galdino; Giovanni de Farias Seabra (org.) </v>
      </c>
      <c r="C210" s="24" t="str">
        <f>IFERROR(__xludf.DUMMYFUNCTION("""COMPUTED_VALUE"""),"Boa Vista ")</f>
        <v>Boa Vista </v>
      </c>
      <c r="D210" s="24" t="str">
        <f>IFERROR(__xludf.DUMMYFUNCTION("""COMPUTED_VALUE"""),"UFRR")</f>
        <v>UFRR</v>
      </c>
      <c r="E210" s="25">
        <f>IFERROR(__xludf.DUMMYFUNCTION("""COMPUTED_VALUE"""),2020.0)</f>
        <v>2020</v>
      </c>
      <c r="F210" s="24" t="str">
        <f>IFERROR(__xludf.DUMMYFUNCTION("""COMPUTED_VALUE"""),"Conferência da terra; Educação ambiental; Sustentabilidade;Território tradicional; Território indígena")</f>
        <v>Conferência da terra; Educação ambiental; Sustentabilidade;Território tradicional; Território indígena</v>
      </c>
      <c r="G210" s="28" t="str">
        <f>IFERROR(__xludf.DUMMYFUNCTION("""COMPUTED_VALUE"""),"9786586062069")</f>
        <v>9786586062069</v>
      </c>
      <c r="H210" s="29" t="str">
        <f>IFERROR(__xludf.DUMMYFUNCTION("""COMPUTED_VALUE"""),"http://ufrr.br/editora/index.php/editais?download=436")</f>
        <v>http://ufrr.br/editora/index.php/editais?download=436</v>
      </c>
      <c r="I210" s="24" t="str">
        <f>IFERROR(__xludf.DUMMYFUNCTION("""COMPUTED_VALUE"""),"Ciências Humanas")</f>
        <v>Ciências Humanas</v>
      </c>
    </row>
    <row r="211">
      <c r="A211" s="24" t="str">
        <f>IFERROR(__xludf.DUMMYFUNCTION("""COMPUTED_VALUE"""),"Coletânea do Fórum Nacional de Extensão e Ação Comunitária das Instituições Comunitárias de Educação Superior: extensão e ação comunitária: o aprendizado pela extensão e a ação apreendida na extensão. vol. 4")</f>
        <v>Coletânea do Fórum Nacional de Extensão e Ação Comunitária das Instituições Comunitárias de Educação Superior: extensão e ação comunitária: o aprendizado pela extensão e a ação apreendida na extensão. vol. 4</v>
      </c>
      <c r="B211" s="24" t="str">
        <f>IFERROR(__xludf.DUMMYFUNCTION("""COMPUTED_VALUE"""),"Josué Adam Lazier; Ismael Forte Valenti (org.)")</f>
        <v>Josué Adam Lazier; Ismael Forte Valenti (org.)</v>
      </c>
      <c r="C211" s="24" t="str">
        <f>IFERROR(__xludf.DUMMYFUNCTION("""COMPUTED_VALUE"""),"Piracicaba, SP")</f>
        <v>Piracicaba, SP</v>
      </c>
      <c r="D211" s="24" t="str">
        <f>IFERROR(__xludf.DUMMYFUNCTION("""COMPUTED_VALUE"""),"UNIMEP")</f>
        <v>UNIMEP</v>
      </c>
      <c r="E211" s="25">
        <f>IFERROR(__xludf.DUMMYFUNCTION("""COMPUTED_VALUE"""),2016.0)</f>
        <v>2016</v>
      </c>
      <c r="F211" s="24" t="str">
        <f>IFERROR(__xludf.DUMMYFUNCTION("""COMPUTED_VALUE"""),"Extensão universitária. Educação comunitária")</f>
        <v>Extensão universitária. Educação comunitária</v>
      </c>
      <c r="G211" s="28" t="str">
        <f>IFERROR(__xludf.DUMMYFUNCTION("""COMPUTED_VALUE"""),"9788585541859")</f>
        <v>9788585541859</v>
      </c>
      <c r="H211" s="29" t="str">
        <f>IFERROR(__xludf.DUMMYFUNCTION("""COMPUTED_VALUE"""),"http://editora.metodista.br/livros-gratis/extensaoeacaocomunitaria.pdf/at_download/file")</f>
        <v>http://editora.metodista.br/livros-gratis/extensaoeacaocomunitaria.pdf/at_download/file</v>
      </c>
      <c r="I211" s="24" t="str">
        <f>IFERROR(__xludf.DUMMYFUNCTION("""COMPUTED_VALUE"""),"Ciências Humanas")</f>
        <v>Ciências Humanas</v>
      </c>
    </row>
    <row r="212">
      <c r="A212" s="24" t="str">
        <f>IFERROR(__xludf.DUMMYFUNCTION("""COMPUTED_VALUE"""),"Colinvaux, Dominique. Cadernos creche UFF: textos de formação e prática ")</f>
        <v>Colinvaux, Dominique. Cadernos creche UFF: textos de formação e prática </v>
      </c>
      <c r="B212" s="24" t="str">
        <f>IFERROR(__xludf.DUMMYFUNCTION("""COMPUTED_VALUE"""),"Dominique Colinvaux")</f>
        <v>Dominique Colinvaux</v>
      </c>
      <c r="C212" s="24" t="str">
        <f>IFERROR(__xludf.DUMMYFUNCTION("""COMPUTED_VALUE"""),"Niterói, RJ")</f>
        <v>Niterói, RJ</v>
      </c>
      <c r="D212" s="24" t="str">
        <f>IFERROR(__xludf.DUMMYFUNCTION("""COMPUTED_VALUE"""),"Editora da UFF")</f>
        <v>Editora da UFF</v>
      </c>
      <c r="E212" s="25">
        <f>IFERROR(__xludf.DUMMYFUNCTION("""COMPUTED_VALUE"""),2011.0)</f>
        <v>2011</v>
      </c>
      <c r="F212" s="24" t="str">
        <f>IFERROR(__xludf.DUMMYFUNCTION("""COMPUTED_VALUE"""),"Aprendizado e formação; Educação Infantil")</f>
        <v>Aprendizado e formação; Educação Infantil</v>
      </c>
      <c r="G212" s="28" t="str">
        <f>IFERROR(__xludf.DUMMYFUNCTION("""COMPUTED_VALUE"""),"9788522805563")</f>
        <v>9788522805563</v>
      </c>
      <c r="H212" s="29" t="str">
        <f>IFERROR(__xludf.DUMMYFUNCTION("""COMPUTED_VALUE"""),"http://bit.ly/Cadernos-Creche-UFF")</f>
        <v>http://bit.ly/Cadernos-Creche-UFF</v>
      </c>
      <c r="I212" s="24" t="str">
        <f>IFERROR(__xludf.DUMMYFUNCTION("""COMPUTED_VALUE"""),"Ciências Humanas")</f>
        <v>Ciências Humanas</v>
      </c>
    </row>
    <row r="213">
      <c r="A213" s="24" t="str">
        <f>IFERROR(__xludf.DUMMYFUNCTION("""COMPUTED_VALUE"""),"COLÔNIA: ESCRITOS DE HISTÓRIA LABORHIS - SÉRIE MONOGRÁFICA")</f>
        <v>COLÔNIA: ESCRITOS DE HISTÓRIA LABORHIS - SÉRIE MONOGRÁFICA</v>
      </c>
      <c r="B213" s="24" t="str">
        <f>IFERROR(__xludf.DUMMYFUNCTION("""COMPUTED_VALUE"""),"Angelo Emilio da Silva Pessoa, Acácio Jose Lopes Catarino, Gustavo Acioli Lopes,Jão de Azevedo Fernandes Mozart Vergetti de Menezes.")</f>
        <v>Angelo Emilio da Silva Pessoa, Acácio Jose Lopes Catarino, Gustavo Acioli Lopes,Jão de Azevedo Fernandes Mozart Vergetti de Menezes.</v>
      </c>
      <c r="C213" s="24" t="str">
        <f>IFERROR(__xludf.DUMMYFUNCTION("""COMPUTED_VALUE"""),"João Pessoa")</f>
        <v>João Pessoa</v>
      </c>
      <c r="D213" s="24" t="str">
        <f>IFERROR(__xludf.DUMMYFUNCTION("""COMPUTED_VALUE"""),"Editora da UFPB")</f>
        <v>Editora da UFPB</v>
      </c>
      <c r="E213" s="25">
        <f>IFERROR(__xludf.DUMMYFUNCTION("""COMPUTED_VALUE"""),2017.0)</f>
        <v>2017</v>
      </c>
      <c r="F213" s="24" t="str">
        <f>IFERROR(__xludf.DUMMYFUNCTION("""COMPUTED_VALUE"""),"História")</f>
        <v>História</v>
      </c>
      <c r="G213" s="28" t="str">
        <f>IFERROR(__xludf.DUMMYFUNCTION("""COMPUTED_VALUE"""),"9878523711962")</f>
        <v>9878523711962</v>
      </c>
      <c r="H213" s="29" t="str">
        <f>IFERROR(__xludf.DUMMYFUNCTION("""COMPUTED_VALUE"""),"http://www.editora.ufpb.br/sistema/press5/index.php/UFPB/catalog/book/112")</f>
        <v>http://www.editora.ufpb.br/sistema/press5/index.php/UFPB/catalog/book/112</v>
      </c>
      <c r="I213" s="24" t="str">
        <f>IFERROR(__xludf.DUMMYFUNCTION("""COMPUTED_VALUE"""),"Ciências Humanas")</f>
        <v>Ciências Humanas</v>
      </c>
    </row>
    <row r="214">
      <c r="A214" s="24" t="str">
        <f>IFERROR(__xludf.DUMMYFUNCTION("""COMPUTED_VALUE"""),"Comida como narrativa: histórias de vida sobre experiências alimentares ao longo da vida")</f>
        <v>Comida como narrativa: histórias de vida sobre experiências alimentares ao longo da vida</v>
      </c>
      <c r="B214" s="24" t="str">
        <f>IFERROR(__xludf.DUMMYFUNCTION("""COMPUTED_VALUE"""),"Samira Coutinho Figueiredo")</f>
        <v>Samira Coutinho Figueiredo</v>
      </c>
      <c r="C214" s="24" t="str">
        <f>IFERROR(__xludf.DUMMYFUNCTION("""COMPUTED_VALUE"""),"Salvador")</f>
        <v>Salvador</v>
      </c>
      <c r="D214" s="24" t="str">
        <f>IFERROR(__xludf.DUMMYFUNCTION("""COMPUTED_VALUE"""),"EDUFBA")</f>
        <v>EDUFBA</v>
      </c>
      <c r="E214" s="25">
        <f>IFERROR(__xludf.DUMMYFUNCTION("""COMPUTED_VALUE"""),2014.0)</f>
        <v>2014</v>
      </c>
      <c r="F214" s="24" t="str">
        <f>IFERROR(__xludf.DUMMYFUNCTION("""COMPUTED_VALUE"""),"Preferências alimentares; Hábitos alimentares; Memória coletiva; Nutrição; Aspectos sociais")</f>
        <v>Preferências alimentares; Hábitos alimentares; Memória coletiva; Nutrição; Aspectos sociais</v>
      </c>
      <c r="G214" s="28" t="str">
        <f>IFERROR(__xludf.DUMMYFUNCTION("""COMPUTED_VALUE"""),"9788523212803")</f>
        <v>9788523212803</v>
      </c>
      <c r="H214" s="29" t="str">
        <f>IFERROR(__xludf.DUMMYFUNCTION("""COMPUTED_VALUE"""),"http://repositorio.ufba.br/ri/handle/ri/16683")</f>
        <v>http://repositorio.ufba.br/ri/handle/ri/16683</v>
      </c>
      <c r="I214" s="24" t="str">
        <f>IFERROR(__xludf.DUMMYFUNCTION("""COMPUTED_VALUE"""),"Ciências Humanas")</f>
        <v>Ciências Humanas</v>
      </c>
    </row>
    <row r="215">
      <c r="A215" s="24" t="str">
        <f>IFERROR(__xludf.DUMMYFUNCTION("""COMPUTED_VALUE"""),"Como distinguir Geografia de Sociologia")</f>
        <v>Como distinguir Geografia de Sociologia</v>
      </c>
      <c r="B215" s="24" t="str">
        <f>IFERROR(__xludf.DUMMYFUNCTION("""COMPUTED_VALUE"""),"Nitsche, Julio Cesar Vaz")</f>
        <v>Nitsche, Julio Cesar Vaz</v>
      </c>
      <c r="C215" s="24" t="str">
        <f>IFERROR(__xludf.DUMMYFUNCTION("""COMPUTED_VALUE"""),"Curitiba")</f>
        <v>Curitiba</v>
      </c>
      <c r="D215" s="24" t="str">
        <f>IFERROR(__xludf.DUMMYFUNCTION("""COMPUTED_VALUE"""),"Ed. do Autor")</f>
        <v>Ed. do Autor</v>
      </c>
      <c r="E215" s="25">
        <f>IFERROR(__xludf.DUMMYFUNCTION("""COMPUTED_VALUE"""),2020.0)</f>
        <v>2020</v>
      </c>
      <c r="F215" s="24" t="str">
        <f>IFERROR(__xludf.DUMMYFUNCTION("""COMPUTED_VALUE"""),"Questões filosóficas sobre Geografia e Sociologia; Mapeamentos geográficos e mapeamento social")</f>
        <v>Questões filosóficas sobre Geografia e Sociologia; Mapeamentos geográficos e mapeamento social</v>
      </c>
      <c r="G215" s="28" t="str">
        <f>IFERROR(__xludf.DUMMYFUNCTION("""COMPUTED_VALUE"""),"9786500015683")</f>
        <v>9786500015683</v>
      </c>
      <c r="H215" s="29" t="str">
        <f>IFERROR(__xludf.DUMMYFUNCTION("""COMPUTED_VALUE"""),"https://hdl.handle.net/1884/67107")</f>
        <v>https://hdl.handle.net/1884/67107</v>
      </c>
      <c r="I215" s="24" t="str">
        <f>IFERROR(__xludf.DUMMYFUNCTION("""COMPUTED_VALUE"""),"Ciências Humanas")</f>
        <v>Ciências Humanas</v>
      </c>
    </row>
    <row r="216">
      <c r="A216" s="24" t="str">
        <f>IFERROR(__xludf.DUMMYFUNCTION("""COMPUTED_VALUE"""),"Como e por que educar sem bater: orientação aos pais sobre a educação dos filho")</f>
        <v>Como e por que educar sem bater: orientação aos pais sobre a educação dos filho</v>
      </c>
      <c r="B216" s="24" t="str">
        <f>IFERROR(__xludf.DUMMYFUNCTION("""COMPUTED_VALUE"""),"Cristiano da Silveira Longo")</f>
        <v>Cristiano da Silveira Longo</v>
      </c>
      <c r="C216" s="24" t="str">
        <f>IFERROR(__xludf.DUMMYFUNCTION("""COMPUTED_VALUE"""),"Dourados, MS")</f>
        <v>Dourados, MS</v>
      </c>
      <c r="D216" s="24" t="str">
        <f>IFERROR(__xludf.DUMMYFUNCTION("""COMPUTED_VALUE"""),"Ed. UFGD")</f>
        <v>Ed. UFGD</v>
      </c>
      <c r="E216" s="25">
        <f>IFERROR(__xludf.DUMMYFUNCTION("""COMPUTED_VALUE"""),2012.0)</f>
        <v>2012</v>
      </c>
      <c r="F216" s="24" t="str">
        <f>IFERROR(__xludf.DUMMYFUNCTION("""COMPUTED_VALUE"""),"Educação de menor; Violência familiar; Punição corporal")</f>
        <v>Educação de menor; Violência familiar; Punição corporal</v>
      </c>
      <c r="G216" s="28" t="str">
        <f>IFERROR(__xludf.DUMMYFUNCTION("""COMPUTED_VALUE"""),"9788581470214")</f>
        <v>9788581470214</v>
      </c>
      <c r="H216" s="29" t="str">
        <f>IFERROR(__xludf.DUMMYFUNCTION("""COMPUTED_VALUE"""),"http://omp.ufgd.edu.br/omp/index.php/livrosabertos/catalog/view/236/127/407-1")</f>
        <v>http://omp.ufgd.edu.br/omp/index.php/livrosabertos/catalog/view/236/127/407-1</v>
      </c>
      <c r="I216" s="24" t="str">
        <f>IFERROR(__xludf.DUMMYFUNCTION("""COMPUTED_VALUE"""),"Ciências Humanas")</f>
        <v>Ciências Humanas</v>
      </c>
    </row>
    <row r="217">
      <c r="A217" s="24" t="str">
        <f>IFERROR(__xludf.DUMMYFUNCTION("""COMPUTED_VALUE"""),"Compartilhando experiências do/no ensino de História: desafios e possibilidades")</f>
        <v>Compartilhando experiências do/no ensino de História: desafios e possibilidades</v>
      </c>
      <c r="B217" s="24" t="str">
        <f>IFERROR(__xludf.DUMMYFUNCTION("""COMPUTED_VALUE"""),"Maria Luiza Fernandes; Raimundo Nonato Gomes dos Santos (org.)")</f>
        <v>Maria Luiza Fernandes; Raimundo Nonato Gomes dos Santos (org.)</v>
      </c>
      <c r="C217" s="24" t="str">
        <f>IFERROR(__xludf.DUMMYFUNCTION("""COMPUTED_VALUE"""),"Boa Vista ")</f>
        <v>Boa Vista </v>
      </c>
      <c r="D217" s="24" t="str">
        <f>IFERROR(__xludf.DUMMYFUNCTION("""COMPUTED_VALUE"""),"UFRR")</f>
        <v>UFRR</v>
      </c>
      <c r="E217" s="25">
        <f>IFERROR(__xludf.DUMMYFUNCTION("""COMPUTED_VALUE"""),2018.0)</f>
        <v>2018</v>
      </c>
      <c r="F217" s="24" t="str">
        <f>IFERROR(__xludf.DUMMYFUNCTION("""COMPUTED_VALUE"""),"Educação especial; Ensino de história; Formação de professores")</f>
        <v>Educação especial; Ensino de história; Formação de professores</v>
      </c>
      <c r="G217" s="28" t="str">
        <f>IFERROR(__xludf.DUMMYFUNCTION("""COMPUTED_VALUE"""),"9788582881828")</f>
        <v>9788582881828</v>
      </c>
      <c r="H217" s="29" t="str">
        <f>IFERROR(__xludf.DUMMYFUNCTION("""COMPUTED_VALUE"""),"http://ufrr.br/editora/index.php/editais?download=408:o-vale-do-rio-branco")</f>
        <v>http://ufrr.br/editora/index.php/editais?download=408:o-vale-do-rio-branco</v>
      </c>
      <c r="I217" s="24" t="str">
        <f>IFERROR(__xludf.DUMMYFUNCTION("""COMPUTED_VALUE"""),"Ciências Humanas")</f>
        <v>Ciências Humanas</v>
      </c>
    </row>
    <row r="218">
      <c r="A218" s="24" t="str">
        <f>IFERROR(__xludf.DUMMYFUNCTION("""COMPUTED_VALUE"""),"Comunicação e direitos humanos no Piauí: desafios e perspectivas em tempos de crise ")</f>
        <v>Comunicação e direitos humanos no Piauí: desafios e perspectivas em tempos de crise </v>
      </c>
      <c r="B218" s="24" t="str">
        <f>IFERROR(__xludf.DUMMYFUNCTION("""COMPUTED_VALUE"""),"Jacqueline Lima Dourado, Juliana Fernandes Teixeira, Ana Karolina Carvalho, Luan Matheus Santana, Luziário Silva, Maura Vitória Freitas (org.)")</f>
        <v>Jacqueline Lima Dourado, Juliana Fernandes Teixeira, Ana Karolina Carvalho, Luan Matheus Santana, Luziário Silva, Maura Vitória Freitas (org.)</v>
      </c>
      <c r="C218" s="24" t="str">
        <f>IFERROR(__xludf.DUMMYFUNCTION("""COMPUTED_VALUE"""),"Teresina")</f>
        <v>Teresina</v>
      </c>
      <c r="D218" s="24" t="str">
        <f>IFERROR(__xludf.DUMMYFUNCTION("""COMPUTED_VALUE"""),"EDUFPI")</f>
        <v>EDUFPI</v>
      </c>
      <c r="E218" s="25">
        <f>IFERROR(__xludf.DUMMYFUNCTION("""COMPUTED_VALUE"""),2020.0)</f>
        <v>2020</v>
      </c>
      <c r="F218" s="24" t="str">
        <f>IFERROR(__xludf.DUMMYFUNCTION("""COMPUTED_VALUE"""),"Comunicação; Direitos Humanos; Economia política da comunicação; Jornalismo")</f>
        <v>Comunicação; Direitos Humanos; Economia política da comunicação; Jornalismo</v>
      </c>
      <c r="G218" s="28" t="str">
        <f>IFERROR(__xludf.DUMMYFUNCTION("""COMPUTED_VALUE"""),"9786586171143")</f>
        <v>9786586171143</v>
      </c>
      <c r="H218" s="29" t="str">
        <f>IFERROR(__xludf.DUMMYFUNCTION("""COMPUTED_VALUE"""),"https://www.ufpi.br/arquivos_download/arquivos/Ebook_Direitos_Humamos_-_vers%C3%A3o_17-04-202020200422173935.pdf")</f>
        <v>https://www.ufpi.br/arquivos_download/arquivos/Ebook_Direitos_Humamos_-_vers%C3%A3o_17-04-202020200422173935.pdf</v>
      </c>
      <c r="I218" s="24" t="str">
        <f>IFERROR(__xludf.DUMMYFUNCTION("""COMPUTED_VALUE"""),"Ciências Humanas")</f>
        <v>Ciências Humanas</v>
      </c>
    </row>
    <row r="219">
      <c r="A219" s="24" t="str">
        <f>IFERROR(__xludf.DUMMYFUNCTION("""COMPUTED_VALUE"""),"Condições de trabalho e saúde do professor. ")</f>
        <v>Condições de trabalho e saúde do professor. </v>
      </c>
      <c r="B219" s="24" t="str">
        <f>IFERROR(__xludf.DUMMYFUNCTION("""COMPUTED_VALUE"""),"(org.) Claudio Pinto Nunes, Berta Leni Costa Cardoso, Erivan Coqueiro Sousa. ")</f>
        <v>(org.) Claudio Pinto Nunes, Berta Leni Costa Cardoso, Erivan Coqueiro Sousa. </v>
      </c>
      <c r="C219" s="24" t="str">
        <f>IFERROR(__xludf.DUMMYFUNCTION("""COMPUTED_VALUE"""),"Vitória da Conquista, BA")</f>
        <v>Vitória da Conquista, BA</v>
      </c>
      <c r="D219" s="24" t="str">
        <f>IFERROR(__xludf.DUMMYFUNCTION("""COMPUTED_VALUE"""),"Edições UESB")</f>
        <v>Edições UESB</v>
      </c>
      <c r="E219" s="25">
        <f>IFERROR(__xludf.DUMMYFUNCTION("""COMPUTED_VALUE"""),2020.0)</f>
        <v>2020</v>
      </c>
      <c r="F219" s="24" t="str">
        <f>IFERROR(__xludf.DUMMYFUNCTION("""COMPUTED_VALUE"""),"Trabalho docente; Trabalho – Saúde do professor; Valorização do trabalho docente")</f>
        <v>Trabalho docente; Trabalho – Saúde do professor; Valorização do trabalho docente</v>
      </c>
      <c r="G219" s="28" t="str">
        <f>IFERROR(__xludf.DUMMYFUNCTION("""COMPUTED_VALUE"""),"9786587106021")</f>
        <v>9786587106021</v>
      </c>
      <c r="H219" s="29" t="str">
        <f>IFERROR(__xludf.DUMMYFUNCTION("""COMPUTED_VALUE"""),"http://anais.uesb.br/index.php/EVE/article/viewFile/9491/9301")</f>
        <v>http://anais.uesb.br/index.php/EVE/article/viewFile/9491/9301</v>
      </c>
      <c r="I219" s="24" t="str">
        <f>IFERROR(__xludf.DUMMYFUNCTION("""COMPUTED_VALUE"""),"Ciências Humanas")</f>
        <v>Ciências Humanas</v>
      </c>
    </row>
    <row r="220">
      <c r="A220" s="24" t="str">
        <f>IFERROR(__xludf.DUMMYFUNCTION("""COMPUTED_VALUE"""),"Condições periféricas: desenvolvimento geográfico desigual no Paraná")</f>
        <v>Condições periféricas: desenvolvimento geográfico desigual no Paraná</v>
      </c>
      <c r="B220" s="24" t="str">
        <f>IFERROR(__xludf.DUMMYFUNCTION("""COMPUTED_VALUE"""),"Costa, Fábio Rodrigues da ")</f>
        <v>Costa, Fábio Rodrigues da </v>
      </c>
      <c r="C220" s="24" t="str">
        <f>IFERROR(__xludf.DUMMYFUNCTION("""COMPUTED_VALUE"""),"Campo Mourão, PR")</f>
        <v>Campo Mourão, PR</v>
      </c>
      <c r="D220" s="24" t="str">
        <f>IFERROR(__xludf.DUMMYFUNCTION("""COMPUTED_VALUE"""),"Editora Fecilcam")</f>
        <v>Editora Fecilcam</v>
      </c>
      <c r="E220" s="25">
        <f>IFERROR(__xludf.DUMMYFUNCTION("""COMPUTED_VALUE"""),2016.0)</f>
        <v>2016</v>
      </c>
      <c r="F220" s="24" t="str">
        <f>IFERROR(__xludf.DUMMYFUNCTION("""COMPUTED_VALUE"""),"Geografia. Produção do Espaço. Reestruturação Produtiva")</f>
        <v>Geografia. Produção do Espaço. Reestruturação Produtiva</v>
      </c>
      <c r="G220" s="28" t="str">
        <f>IFERROR(__xludf.DUMMYFUNCTION("""COMPUTED_VALUE"""),"9788588753396")</f>
        <v>9788588753396</v>
      </c>
      <c r="H220" s="29" t="str">
        <f>IFERROR(__xludf.DUMMYFUNCTION("""COMPUTED_VALUE"""),"http://campomourao.unespar.edu.br/editora/obras-digitais/condicoes-perifericas-desenvolvimento-geografico-desigual-no-parana")</f>
        <v>http://campomourao.unespar.edu.br/editora/obras-digitais/condicoes-perifericas-desenvolvimento-geografico-desigual-no-parana</v>
      </c>
      <c r="I220" s="24" t="str">
        <f>IFERROR(__xludf.DUMMYFUNCTION("""COMPUTED_VALUE"""),"Ciências Humanas")</f>
        <v>Ciências Humanas</v>
      </c>
    </row>
    <row r="221">
      <c r="A221" s="24" t="str">
        <f>IFERROR(__xludf.DUMMYFUNCTION("""COMPUTED_VALUE"""),"Consultor &amp; Cliente: uma parceria para o desenvolvimento organizacional ")</f>
        <v>Consultor &amp; Cliente: uma parceria para o desenvolvimento organizacional </v>
      </c>
      <c r="B221" s="24" t="str">
        <f>IFERROR(__xludf.DUMMYFUNCTION("""COMPUTED_VALUE"""),"Pedro Paulo Iannini")</f>
        <v>Pedro Paulo Iannini</v>
      </c>
      <c r="C221" s="24" t="str">
        <f>IFERROR(__xludf.DUMMYFUNCTION("""COMPUTED_VALUE"""),"Niterói, RJ")</f>
        <v>Niterói, RJ</v>
      </c>
      <c r="D221" s="24" t="str">
        <f>IFERROR(__xludf.DUMMYFUNCTION("""COMPUTED_VALUE"""),"EDUFF")</f>
        <v>EDUFF</v>
      </c>
      <c r="E221" s="25">
        <f>IFERROR(__xludf.DUMMYFUNCTION("""COMPUTED_VALUE"""),1996.0)</f>
        <v>1996</v>
      </c>
      <c r="F221" s="24" t="str">
        <f>IFERROR(__xludf.DUMMYFUNCTION("""COMPUTED_VALUE"""),"Consultoria; Psicologia Organizacional")</f>
        <v>Consultoria; Psicologia Organizacional</v>
      </c>
      <c r="G221" s="28" t="str">
        <f>IFERROR(__xludf.DUMMYFUNCTION("""COMPUTED_VALUE"""),"8522801851")</f>
        <v>8522801851</v>
      </c>
      <c r="H221" s="29" t="str">
        <f>IFERROR(__xludf.DUMMYFUNCTION("""COMPUTED_VALUE"""),"http://www.eduff.uff.br/ebooks/Consultor-e-cliente.pdf")</f>
        <v>http://www.eduff.uff.br/ebooks/Consultor-e-cliente.pdf</v>
      </c>
      <c r="I221" s="24" t="str">
        <f>IFERROR(__xludf.DUMMYFUNCTION("""COMPUTED_VALUE"""),"Ciências Humanas")</f>
        <v>Ciências Humanas</v>
      </c>
    </row>
    <row r="222">
      <c r="A222" s="24" t="str">
        <f>IFERROR(__xludf.DUMMYFUNCTION("""COMPUTED_VALUE"""),"Contemplatio Ensaios de Filosofia Medieval")</f>
        <v>Contemplatio Ensaios de Filosofia Medieval</v>
      </c>
      <c r="B222" s="24" t="str">
        <f>IFERROR(__xludf.DUMMYFUNCTION("""COMPUTED_VALUE"""),"Maria Simone Marinho Nogueira (org.)")</f>
        <v>Maria Simone Marinho Nogueira (org.)</v>
      </c>
      <c r="C222" s="24" t="str">
        <f>IFERROR(__xludf.DUMMYFUNCTION("""COMPUTED_VALUE"""),"Campina Grande")</f>
        <v>Campina Grande</v>
      </c>
      <c r="D222" s="24" t="str">
        <f>IFERROR(__xludf.DUMMYFUNCTION("""COMPUTED_VALUE"""),"EDUEPB")</f>
        <v>EDUEPB</v>
      </c>
      <c r="E222" s="25">
        <f>IFERROR(__xludf.DUMMYFUNCTION("""COMPUTED_VALUE"""),2013.0)</f>
        <v>2013</v>
      </c>
      <c r="F222" s="24" t="str">
        <f>IFERROR(__xludf.DUMMYFUNCTION("""COMPUTED_VALUE"""),"Filosofia. Filosofia medieval. Idade média. Platão. Aristóteles. Santo Agostinho")</f>
        <v>Filosofia. Filosofia medieval. Idade média. Platão. Aristóteles. Santo Agostinho</v>
      </c>
      <c r="G222" s="28" t="str">
        <f>IFERROR(__xludf.DUMMYFUNCTION("""COMPUTED_VALUE"""),"9788578791735")</f>
        <v>9788578791735</v>
      </c>
      <c r="H222" s="29" t="str">
        <f>IFERROR(__xludf.DUMMYFUNCTION("""COMPUTED_VALUE"""),"http://eduepb.uepb.edu.br/download/contemplatio-ensaios-de-filosofia-medieval/?wpdmdl=178&amp;amp;masterkey=5af999872c3eb")</f>
        <v>http://eduepb.uepb.edu.br/download/contemplatio-ensaios-de-filosofia-medieval/?wpdmdl=178&amp;amp;masterkey=5af999872c3eb</v>
      </c>
      <c r="I222" s="24" t="str">
        <f>IFERROR(__xludf.DUMMYFUNCTION("""COMPUTED_VALUE"""),"Ciências Humanas")</f>
        <v>Ciências Humanas</v>
      </c>
    </row>
    <row r="223">
      <c r="A223" s="24" t="str">
        <f>IFERROR(__xludf.DUMMYFUNCTION("""COMPUTED_VALUE"""),"Contextos geográficos, saúde mental e violências: das pessoas ao território e do território às pessoas.")</f>
        <v>Contextos geográficos, saúde mental e violências: das pessoas ao território e do território às pessoas.</v>
      </c>
      <c r="B223" s="24" t="str">
        <f>IFERROR(__xludf.DUMMYFUNCTION("""COMPUTED_VALUE"""),"Adeir Archanjo da Mota, Cláudia Marques Roma (org.)")</f>
        <v>Adeir Archanjo da Mota, Cláudia Marques Roma (org.)</v>
      </c>
      <c r="C223" s="24" t="str">
        <f>IFERROR(__xludf.DUMMYFUNCTION("""COMPUTED_VALUE"""),"Dourados, MS")</f>
        <v>Dourados, MS</v>
      </c>
      <c r="D223" s="24" t="str">
        <f>IFERROR(__xludf.DUMMYFUNCTION("""COMPUTED_VALUE"""),"Ed. UFGD")</f>
        <v>Ed. UFGD</v>
      </c>
      <c r="E223" s="25">
        <f>IFERROR(__xludf.DUMMYFUNCTION("""COMPUTED_VALUE"""),2020.0)</f>
        <v>2020</v>
      </c>
      <c r="F223" s="24" t="str">
        <f>IFERROR(__xludf.DUMMYFUNCTION("""COMPUTED_VALUE"""),"Geografia da saúde; Fronteiras; Políticas públicas; Saúde")</f>
        <v>Geografia da saúde; Fronteiras; Políticas públicas; Saúde</v>
      </c>
      <c r="G223" s="28" t="str">
        <f>IFERROR(__xludf.DUMMYFUNCTION("""COMPUTED_VALUE"""),"9788581471716")</f>
        <v>9788581471716</v>
      </c>
      <c r="H223" s="29" t="str">
        <f>IFERROR(__xludf.DUMMYFUNCTION("""COMPUTED_VALUE"""),"http://omp.ufgd.edu.br/omp/index.php/livrosabertos/catalog/view/331/262/2485-1")</f>
        <v>http://omp.ufgd.edu.br/omp/index.php/livrosabertos/catalog/view/331/262/2485-1</v>
      </c>
      <c r="I223" s="24" t="str">
        <f>IFERROR(__xludf.DUMMYFUNCTION("""COMPUTED_VALUE"""),"Ciências Humanas")</f>
        <v>Ciências Humanas</v>
      </c>
    </row>
    <row r="224">
      <c r="A224" s="24" t="str">
        <f>IFERROR(__xludf.DUMMYFUNCTION("""COMPUTED_VALUE"""),"CONTRIBUIÇÃO PARA A HISTÓRIA AGRÁRIA DE MINAS GERAIS — SÉCULOS XVIII-XIX")</f>
        <v>CONTRIBUIÇÃO PARA A HISTÓRIA AGRÁRIA DE MINAS GERAIS — SÉCULOS XVIII-XIX</v>
      </c>
      <c r="B224" s="24" t="str">
        <f>IFERROR(__xludf.DUMMYFUNCTION("""COMPUTED_VALUE"""),"ANGELO ALVES CARRARA")</f>
        <v>ANGELO ALVES CARRARA</v>
      </c>
      <c r="C224" s="24" t="str">
        <f>IFERROR(__xludf.DUMMYFUNCTION("""COMPUTED_VALUE"""),"Mariana")</f>
        <v>Mariana</v>
      </c>
      <c r="D224" s="24" t="str">
        <f>IFERROR(__xludf.DUMMYFUNCTION("""COMPUTED_VALUE"""),"UFOP")</f>
        <v>UFOP</v>
      </c>
      <c r="E224" s="25">
        <f>IFERROR(__xludf.DUMMYFUNCTION("""COMPUTED_VALUE"""),1999.0)</f>
        <v>1999</v>
      </c>
      <c r="F224" s="24"/>
      <c r="G224" s="28" t="str">
        <f>IFERROR(__xludf.DUMMYFUNCTION("""COMPUTED_VALUE"""),"8528800296")</f>
        <v>8528800296</v>
      </c>
      <c r="H224" s="29" t="str">
        <f>IFERROR(__xludf.DUMMYFUNCTION("""COMPUTED_VALUE"""),"https://www.editora.ufop.br/index.php/editora/catalog/view/117/92/298-1")</f>
        <v>https://www.editora.ufop.br/index.php/editora/catalog/view/117/92/298-1</v>
      </c>
      <c r="I224" s="24" t="str">
        <f>IFERROR(__xludf.DUMMYFUNCTION("""COMPUTED_VALUE"""),"Ciências Humanas")</f>
        <v>Ciências Humanas</v>
      </c>
    </row>
    <row r="225">
      <c r="A225" s="24" t="str">
        <f>IFERROR(__xludf.DUMMYFUNCTION("""COMPUTED_VALUE"""),"Contribuições à história intelectual do Brasil republicano")</f>
        <v>Contribuições à história intelectual do Brasil republicano</v>
      </c>
      <c r="B225" s="24" t="str">
        <f>IFERROR(__xludf.DUMMYFUNCTION("""COMPUTED_VALUE"""),"Alexandre de Sá Avelar Daniel Barbosa Andrade Faria Mateus Henrique de Faria Pereira (org.)")</f>
        <v>Alexandre de Sá Avelar Daniel Barbosa Andrade Faria Mateus Henrique de Faria Pereira (org.)</v>
      </c>
      <c r="C225" s="24" t="str">
        <f>IFERROR(__xludf.DUMMYFUNCTION("""COMPUTED_VALUE"""),"Ouro Preto")</f>
        <v>Ouro Preto</v>
      </c>
      <c r="D225" s="24" t="str">
        <f>IFERROR(__xludf.DUMMYFUNCTION("""COMPUTED_VALUE"""),"UFOP")</f>
        <v>UFOP</v>
      </c>
      <c r="E225" s="25">
        <f>IFERROR(__xludf.DUMMYFUNCTION("""COMPUTED_VALUE"""),2012.0)</f>
        <v>2012</v>
      </c>
      <c r="F225" s="24" t="str">
        <f>IFERROR(__xludf.DUMMYFUNCTION("""COMPUTED_VALUE"""),"República - história - Brasil. Intelectuais - Brasil")</f>
        <v>República - história - Brasil. Intelectuais - Brasil</v>
      </c>
      <c r="G225" s="28" t="str">
        <f>IFERROR(__xludf.DUMMYFUNCTION("""COMPUTED_VALUE"""),"9788528802993")</f>
        <v>9788528802993</v>
      </c>
      <c r="H225" s="29" t="str">
        <f>IFERROR(__xludf.DUMMYFUNCTION("""COMPUTED_VALUE"""),"https://www.editora.ufop.br/index.php/editora/catalog/view/56/41/136-1")</f>
        <v>https://www.editora.ufop.br/index.php/editora/catalog/view/56/41/136-1</v>
      </c>
      <c r="I225" s="24" t="str">
        <f>IFERROR(__xludf.DUMMYFUNCTION("""COMPUTED_VALUE"""),"Ciências Humanas")</f>
        <v>Ciências Humanas</v>
      </c>
    </row>
    <row r="226">
      <c r="A226" s="24" t="str">
        <f>IFERROR(__xludf.DUMMYFUNCTION("""COMPUTED_VALUE"""),"Conversando sobre Património Industrial e outras histórias: palavras, espaços e imagens")</f>
        <v>Conversando sobre Património Industrial e outras histórias: palavras, espaços e imagens</v>
      </c>
      <c r="B226" s="24" t="str">
        <f>IFERROR(__xludf.DUMMYFUNCTION("""COMPUTED_VALUE"""),"Ana Cardoso de Matos, Telama Bessa Sales")</f>
        <v>Ana Cardoso de Matos, Telama Bessa Sales</v>
      </c>
      <c r="C226" s="24" t="str">
        <f>IFERROR(__xludf.DUMMYFUNCTION("""COMPUTED_VALUE"""),"Sobral")</f>
        <v>Sobral</v>
      </c>
      <c r="D226" s="24" t="str">
        <f>IFERROR(__xludf.DUMMYFUNCTION("""COMPUTED_VALUE"""),"Edições UVA")</f>
        <v>Edições UVA</v>
      </c>
      <c r="E226" s="25">
        <f>IFERROR(__xludf.DUMMYFUNCTION("""COMPUTED_VALUE"""),2018.0)</f>
        <v>2018</v>
      </c>
      <c r="F226" s="24" t="str">
        <f>IFERROR(__xludf.DUMMYFUNCTION("""COMPUTED_VALUE"""),"Experiências, Patrimônio industrial, Memórias, Patrimônio ")</f>
        <v>Experiências, Patrimônio industrial, Memórias, Patrimônio </v>
      </c>
      <c r="G226" s="28" t="str">
        <f>IFERROR(__xludf.DUMMYFUNCTION("""COMPUTED_VALUE"""),"9788595390256")</f>
        <v>9788595390256</v>
      </c>
      <c r="H226" s="29" t="str">
        <f>IFERROR(__xludf.DUMMYFUNCTION("""COMPUTED_VALUE"""),"http://www.uvanet.br/edicoes_uva/gera_xml.php?arquivo=conversando_patrimonio")</f>
        <v>http://www.uvanet.br/edicoes_uva/gera_xml.php?arquivo=conversando_patrimonio</v>
      </c>
      <c r="I226" s="24" t="str">
        <f>IFERROR(__xludf.DUMMYFUNCTION("""COMPUTED_VALUE"""),"Ciências Humanas")</f>
        <v>Ciências Humanas</v>
      </c>
    </row>
    <row r="227">
      <c r="A227" s="24" t="str">
        <f>IFERROR(__xludf.DUMMYFUNCTION("""COMPUTED_VALUE"""),"Coordenação pedagógica: diferentes olhares sobre as relações escolares e as práticas pedagógicas")</f>
        <v>Coordenação pedagógica: diferentes olhares sobre as relações escolares e as práticas pedagógicas</v>
      </c>
      <c r="B227" s="24" t="str">
        <f>IFERROR(__xludf.DUMMYFUNCTION("""COMPUTED_VALUE"""),"Aline Andréia Nicolli; Mark Clark Assen de Carvalho (org.)")</f>
        <v>Aline Andréia Nicolli; Mark Clark Assen de Carvalho (org.)</v>
      </c>
      <c r="C227" s="24" t="str">
        <f>IFERROR(__xludf.DUMMYFUNCTION("""COMPUTED_VALUE"""),"Rio Branco")</f>
        <v>Rio Branco</v>
      </c>
      <c r="D227" s="24" t="str">
        <f>IFERROR(__xludf.DUMMYFUNCTION("""COMPUTED_VALUE"""),"Edufac")</f>
        <v>Edufac</v>
      </c>
      <c r="E227" s="25">
        <f>IFERROR(__xludf.DUMMYFUNCTION("""COMPUTED_VALUE"""),2017.0)</f>
        <v>2017</v>
      </c>
      <c r="F227" s="24" t="str">
        <f>IFERROR(__xludf.DUMMYFUNCTION("""COMPUTED_VALUE"""),"Educação; Práticas pedagógicas; Sistemas de ensino; Organização escolar")</f>
        <v>Educação; Práticas pedagógicas; Sistemas de ensino; Organização escolar</v>
      </c>
      <c r="G227" s="28" t="str">
        <f>IFERROR(__xludf.DUMMYFUNCTION("""COMPUTED_VALUE"""),"9788582360446")</f>
        <v>9788582360446</v>
      </c>
      <c r="H227" s="29" t="str">
        <f>IFERROR(__xludf.DUMMYFUNCTION("""COMPUTED_VALUE"""),"http://www2.ufac.br/editora/livros/coordenacao-pedagogica.pdf")</f>
        <v>http://www2.ufac.br/editora/livros/coordenacao-pedagogica.pdf</v>
      </c>
      <c r="I227" s="24" t="str">
        <f>IFERROR(__xludf.DUMMYFUNCTION("""COMPUTED_VALUE"""),"Ciências Humanas")</f>
        <v>Ciências Humanas</v>
      </c>
    </row>
    <row r="228">
      <c r="A228" s="24" t="str">
        <f>IFERROR(__xludf.DUMMYFUNCTION("""COMPUTED_VALUE"""),"Copas do Mundo: comunicação e identidade cultural no país do futebol")</f>
        <v>Copas do Mundo: comunicação e identidade cultural no país do futebol</v>
      </c>
      <c r="B228" s="24" t="str">
        <f>IFERROR(__xludf.DUMMYFUNCTION("""COMPUTED_VALUE"""),"Ronaldo Helal e Alvaro do Cabo (orgs.)")</f>
        <v>Ronaldo Helal e Alvaro do Cabo (orgs.)</v>
      </c>
      <c r="C228" s="24" t="str">
        <f>IFERROR(__xludf.DUMMYFUNCTION("""COMPUTED_VALUE"""),"Rio de Janeiro")</f>
        <v>Rio de Janeiro</v>
      </c>
      <c r="D228" s="24" t="str">
        <f>IFERROR(__xludf.DUMMYFUNCTION("""COMPUTED_VALUE"""),"EdUERJ")</f>
        <v>EdUERJ</v>
      </c>
      <c r="E228" s="25">
        <f>IFERROR(__xludf.DUMMYFUNCTION("""COMPUTED_VALUE"""),2014.0)</f>
        <v>2014</v>
      </c>
      <c r="F228" s="24" t="str">
        <f>IFERROR(__xludf.DUMMYFUNCTION("""COMPUTED_VALUE"""),"Copa do mundo; Futebol; Identidade cultural")</f>
        <v>Copa do mundo; Futebol; Identidade cultural</v>
      </c>
      <c r="G228" s="28" t="str">
        <f>IFERROR(__xludf.DUMMYFUNCTION("""COMPUTED_VALUE"""),"9788575113196")</f>
        <v>9788575113196</v>
      </c>
      <c r="H228" s="29" t="str">
        <f>IFERROR(__xludf.DUMMYFUNCTION("""COMPUTED_VALUE"""),"https://www.eduerj.com/eng/?product=copas-do-mundo-comunicacao-e-identidade-cultural-no-pais-do-futebol-2")</f>
        <v>https://www.eduerj.com/eng/?product=copas-do-mundo-comunicacao-e-identidade-cultural-no-pais-do-futebol-2</v>
      </c>
      <c r="I228" s="24" t="str">
        <f>IFERROR(__xludf.DUMMYFUNCTION("""COMPUTED_VALUE"""),"Ciências Humanas")</f>
        <v>Ciências Humanas</v>
      </c>
    </row>
    <row r="229">
      <c r="A229" s="24" t="str">
        <f>IFERROR(__xludf.DUMMYFUNCTION("""COMPUTED_VALUE"""),"Cor e criminalidade; estudo e análise da justiça no Rio de Janeiro (1900-1930)")</f>
        <v>Cor e criminalidade; estudo e análise da justiça no Rio de Janeiro (1900-1930)</v>
      </c>
      <c r="B229" s="24" t="str">
        <f>IFERROR(__xludf.DUMMYFUNCTION("""COMPUTED_VALUE"""),"Carlos Antonio Costa Ribeiro")</f>
        <v>Carlos Antonio Costa Ribeiro</v>
      </c>
      <c r="C229" s="24" t="str">
        <f>IFERROR(__xludf.DUMMYFUNCTION("""COMPUTED_VALUE"""),"Rio de Janeiro")</f>
        <v>Rio de Janeiro</v>
      </c>
      <c r="D229" s="24" t="str">
        <f>IFERROR(__xludf.DUMMYFUNCTION("""COMPUTED_VALUE"""),"Editora UFRJ")</f>
        <v>Editora UFRJ</v>
      </c>
      <c r="E229" s="25">
        <f>IFERROR(__xludf.DUMMYFUNCTION("""COMPUTED_VALUE"""),1995.0)</f>
        <v>1995</v>
      </c>
      <c r="F229" s="24" t="str">
        <f>IFERROR(__xludf.DUMMYFUNCTION("""COMPUTED_VALUE"""),"Racismo; Direito Penal; Criminalidade")</f>
        <v>Racismo; Direito Penal; Criminalidade</v>
      </c>
      <c r="G229" s="28" t="str">
        <f>IFERROR(__xludf.DUMMYFUNCTION("""COMPUTED_VALUE"""),"8571081220")</f>
        <v>8571081220</v>
      </c>
      <c r="H229" s="29" t="str">
        <f>IFERROR(__xludf.DUMMYFUNCTION("""COMPUTED_VALUE"""),"http://www.editora.ufrj.br/DynamicItems/livrosabertos-1/Cor-e-criminalidade.pdf")</f>
        <v>http://www.editora.ufrj.br/DynamicItems/livrosabertos-1/Cor-e-criminalidade.pdf</v>
      </c>
      <c r="I229" s="24" t="str">
        <f>IFERROR(__xludf.DUMMYFUNCTION("""COMPUTED_VALUE"""),"Ciências Humanas")</f>
        <v>Ciências Humanas</v>
      </c>
    </row>
    <row r="230">
      <c r="A230" s="24" t="str">
        <f>IFERROR(__xludf.DUMMYFUNCTION("""COMPUTED_VALUE"""),"Corpo e consumo: roteiro de estudos e pesquisas")</f>
        <v>Corpo e consumo: roteiro de estudos e pesquisas</v>
      </c>
      <c r="B230" s="24" t="str">
        <f>IFERROR(__xludf.DUMMYFUNCTION("""COMPUTED_VALUE"""),"Everardo Rocha e José Carlos Rodrigues")</f>
        <v>Everardo Rocha e José Carlos Rodrigues</v>
      </c>
      <c r="C230" s="24" t="str">
        <f>IFERROR(__xludf.DUMMYFUNCTION("""COMPUTED_VALUE"""),"Rio de Janeiro")</f>
        <v>Rio de Janeiro</v>
      </c>
      <c r="D230" s="24" t="str">
        <f>IFERROR(__xludf.DUMMYFUNCTION("""COMPUTED_VALUE"""),"Editora PUC Rio")</f>
        <v>Editora PUC Rio</v>
      </c>
      <c r="E230" s="25">
        <f>IFERROR(__xludf.DUMMYFUNCTION("""COMPUTED_VALUE"""),2013.0)</f>
        <v>2013</v>
      </c>
      <c r="F230" s="24" t="str">
        <f>IFERROR(__xludf.DUMMYFUNCTION("""COMPUTED_VALUE"""),"Corpo-história-cultura brasileira")</f>
        <v>Corpo-história-cultura brasileira</v>
      </c>
      <c r="G230" s="28" t="str">
        <f>IFERROR(__xludf.DUMMYFUNCTION("""COMPUTED_VALUE"""),"9788580061031")</f>
        <v>9788580061031</v>
      </c>
      <c r="H230" s="29" t="str">
        <f>IFERROR(__xludf.DUMMYFUNCTION("""COMPUTED_VALUE"""),"http://www.editora.puc-rio.br/media/ebook%20corpo%20e%20consumo%20180517.pdf")</f>
        <v>http://www.editora.puc-rio.br/media/ebook%20corpo%20e%20consumo%20180517.pdf</v>
      </c>
      <c r="I230" s="24" t="str">
        <f>IFERROR(__xludf.DUMMYFUNCTION("""COMPUTED_VALUE"""),"Ciências Humanas")</f>
        <v>Ciências Humanas</v>
      </c>
    </row>
    <row r="231">
      <c r="A231" s="24" t="str">
        <f>IFERROR(__xludf.DUMMYFUNCTION("""COMPUTED_VALUE"""),"Costurando contos e amarrando pontos: tecendo o Piauí pelo imaginário popular")</f>
        <v>Costurando contos e amarrando pontos: tecendo o Piauí pelo imaginário popular</v>
      </c>
      <c r="B231" s="24" t="str">
        <f>IFERROR(__xludf.DUMMYFUNCTION("""COMPUTED_VALUE"""),"Ana Carolina Landim Pacheco; Simone Vieira Batista; Suzana Gomes Lopes; Tamaris Gimenez Pinheiro (org.)")</f>
        <v>Ana Carolina Landim Pacheco; Simone Vieira Batista; Suzana Gomes Lopes; Tamaris Gimenez Pinheiro (org.)</v>
      </c>
      <c r="C231" s="24" t="str">
        <f>IFERROR(__xludf.DUMMYFUNCTION("""COMPUTED_VALUE"""),"Teresina")</f>
        <v>Teresina</v>
      </c>
      <c r="D231" s="24" t="str">
        <f>IFERROR(__xludf.DUMMYFUNCTION("""COMPUTED_VALUE"""),"EDUFPI")</f>
        <v>EDUFPI</v>
      </c>
      <c r="E231" s="25">
        <f>IFERROR(__xludf.DUMMYFUNCTION("""COMPUTED_VALUE"""),2017.0)</f>
        <v>2017</v>
      </c>
      <c r="F231" s="24" t="str">
        <f>IFERROR(__xludf.DUMMYFUNCTION("""COMPUTED_VALUE"""),"História; Cultura; Lendas e Fábulas,")</f>
        <v>História; Cultura; Lendas e Fábulas,</v>
      </c>
      <c r="G231" s="28" t="str">
        <f>IFERROR(__xludf.DUMMYFUNCTION("""COMPUTED_VALUE"""),"9788550902036")</f>
        <v>9788550902036</v>
      </c>
      <c r="H231" s="29" t="str">
        <f>IFERROR(__xludf.DUMMYFUNCTION("""COMPUTED_VALUE"""),"https://www.ufpi.br/arquivos_download/arquivos/EDUFPI/Livro_COSTURANDO_CONTOS_E_AMARRANDO___PONTOS_E-BOOK_ok_1.pdf")</f>
        <v>https://www.ufpi.br/arquivos_download/arquivos/EDUFPI/Livro_COSTURANDO_CONTOS_E_AMARRANDO___PONTOS_E-BOOK_ok_1.pdf</v>
      </c>
      <c r="I231" s="24" t="str">
        <f>IFERROR(__xludf.DUMMYFUNCTION("""COMPUTED_VALUE"""),"Ciências Humanas")</f>
        <v>Ciências Humanas</v>
      </c>
    </row>
    <row r="232">
      <c r="A232" s="24" t="str">
        <f>IFERROR(__xludf.DUMMYFUNCTION("""COMPUTED_VALUE"""),"Cotidiano Afrodescendentes")</f>
        <v>Cotidiano Afrodescendentes</v>
      </c>
      <c r="B232" s="24" t="str">
        <f>IFERROR(__xludf.DUMMYFUNCTION("""COMPUTED_VALUE"""),"Cibele Barbosa e Sylvia Costa Couceiro")</f>
        <v>Cibele Barbosa e Sylvia Costa Couceiro</v>
      </c>
      <c r="C232" s="24" t="str">
        <f>IFERROR(__xludf.DUMMYFUNCTION("""COMPUTED_VALUE"""),"Recife")</f>
        <v>Recife</v>
      </c>
      <c r="D232" s="24" t="str">
        <f>IFERROR(__xludf.DUMMYFUNCTION("""COMPUTED_VALUE"""),"Fundação Joaquim Nabuco / Editora Massangana")</f>
        <v>Fundação Joaquim Nabuco / Editora Massangana</v>
      </c>
      <c r="E232" s="25">
        <f>IFERROR(__xludf.DUMMYFUNCTION("""COMPUTED_VALUE"""),2018.0)</f>
        <v>2018</v>
      </c>
      <c r="F232" s="24" t="str">
        <f>IFERROR(__xludf.DUMMYFUNCTION("""COMPUTED_VALUE"""),"Negro; Afrodescendentes; História; Memória; Fotografia")</f>
        <v>Negro; Afrodescendentes; História; Memória; Fotografia</v>
      </c>
      <c r="G232" s="28" t="str">
        <f>IFERROR(__xludf.DUMMYFUNCTION("""COMPUTED_VALUE"""),"9788570196903")</f>
        <v>9788570196903</v>
      </c>
      <c r="H232" s="29" t="str">
        <f>IFERROR(__xludf.DUMMYFUNCTION("""COMPUTED_VALUE"""),"https://www.fundaj.gov.br/images/stories/editora/livros/cotidianos_afrodecendentes_portal.pdf")</f>
        <v>https://www.fundaj.gov.br/images/stories/editora/livros/cotidianos_afrodecendentes_portal.pdf</v>
      </c>
      <c r="I232" s="24" t="str">
        <f>IFERROR(__xludf.DUMMYFUNCTION("""COMPUTED_VALUE"""),"Ciências Humanas")</f>
        <v>Ciências Humanas</v>
      </c>
    </row>
    <row r="233">
      <c r="A233" s="24" t="str">
        <f>IFERROR(__xludf.DUMMYFUNCTION("""COMPUTED_VALUE"""),"Crônicas: globalização, neoliberalismo e política ")</f>
        <v>Crônicas: globalização, neoliberalismo e política </v>
      </c>
      <c r="B233" s="24" t="str">
        <f>IFERROR(__xludf.DUMMYFUNCTION("""COMPUTED_VALUE"""),"Wilson Valentim Biasotto")</f>
        <v>Wilson Valentim Biasotto</v>
      </c>
      <c r="C233" s="24" t="str">
        <f>IFERROR(__xludf.DUMMYFUNCTION("""COMPUTED_VALUE"""),"Dourados, MS")</f>
        <v>Dourados, MS</v>
      </c>
      <c r="D233" s="24" t="str">
        <f>IFERROR(__xludf.DUMMYFUNCTION("""COMPUTED_VALUE"""),"Editora da UFGD")</f>
        <v>Editora da UFGD</v>
      </c>
      <c r="E233" s="25">
        <f>IFERROR(__xludf.DUMMYFUNCTION("""COMPUTED_VALUE"""),2011.0)</f>
        <v>2011</v>
      </c>
      <c r="F233" s="24" t="str">
        <f>IFERROR(__xludf.DUMMYFUNCTION("""COMPUTED_VALUE"""),"Globalização; Neoliberalismo; Política; Crônicas brasileiras")</f>
        <v>Globalização; Neoliberalismo; Política; Crônicas brasileiras</v>
      </c>
      <c r="G233" s="28" t="str">
        <f>IFERROR(__xludf.DUMMYFUNCTION("""COMPUTED_VALUE"""),"9788561228873")</f>
        <v>9788561228873</v>
      </c>
      <c r="H233" s="29" t="str">
        <f>IFERROR(__xludf.DUMMYFUNCTION("""COMPUTED_VALUE"""),"http://omp.ufgd.edu.br/omp/index.php/livrosabertos/catalog/view/67/71/251-1")</f>
        <v>http://omp.ufgd.edu.br/omp/index.php/livrosabertos/catalog/view/67/71/251-1</v>
      </c>
      <c r="I233" s="24" t="str">
        <f>IFERROR(__xludf.DUMMYFUNCTION("""COMPUTED_VALUE"""),"Ciências Humanas")</f>
        <v>Ciências Humanas</v>
      </c>
    </row>
    <row r="234">
      <c r="A234" s="24" t="str">
        <f>IFERROR(__xludf.DUMMYFUNCTION("""COMPUTED_VALUE"""),"Cronistas e Combatentes: A escrita da história na Inglaterra da Guerra dos Cem Anos (1330-1360)")</f>
        <v>Cronistas e Combatentes: A escrita da história na Inglaterra da Guerra dos Cem Anos (1330-1360)</v>
      </c>
      <c r="B234" s="24" t="str">
        <f>IFERROR(__xludf.DUMMYFUNCTION("""COMPUTED_VALUE"""),"Fernando Pereira dos Santos")</f>
        <v>Fernando Pereira dos Santos</v>
      </c>
      <c r="C234" s="24" t="str">
        <f>IFERROR(__xludf.DUMMYFUNCTION("""COMPUTED_VALUE"""),"Rio Branco")</f>
        <v>Rio Branco</v>
      </c>
      <c r="D234" s="24" t="str">
        <f>IFERROR(__xludf.DUMMYFUNCTION("""COMPUTED_VALUE"""),"Edufac")</f>
        <v>Edufac</v>
      </c>
      <c r="E234" s="25">
        <f>IFERROR(__xludf.DUMMYFUNCTION("""COMPUTED_VALUE"""),2019.0)</f>
        <v>2019</v>
      </c>
      <c r="F234" s="24" t="str">
        <f>IFERROR(__xludf.DUMMYFUNCTION("""COMPUTED_VALUE"""),"Guerra dos Cem Anos; Civilização medieval - história; Idade média -história")</f>
        <v>Guerra dos Cem Anos; Civilização medieval - história; Idade média -história</v>
      </c>
      <c r="G234" s="28" t="str">
        <f>IFERROR(__xludf.DUMMYFUNCTION("""COMPUTED_VALUE"""),"9788582360996")</f>
        <v>9788582360996</v>
      </c>
      <c r="H234" s="29" t="str">
        <f>IFERROR(__xludf.DUMMYFUNCTION("""COMPUTED_VALUE"""),"http://www2.ufac.br/editora/livros/CRONISTASCOMBATENTES.pdf")</f>
        <v>http://www2.ufac.br/editora/livros/CRONISTASCOMBATENTES.pdf</v>
      </c>
      <c r="I234" s="24" t="str">
        <f>IFERROR(__xludf.DUMMYFUNCTION("""COMPUTED_VALUE"""),"Ciências Humanas")</f>
        <v>Ciências Humanas</v>
      </c>
    </row>
    <row r="235">
      <c r="A235" s="24" t="str">
        <f>IFERROR(__xludf.DUMMYFUNCTION("""COMPUTED_VALUE"""),"Cuba e a eterna guerra fria: mudanças internas e política ex- terna nos anos 90")</f>
        <v>Cuba e a eterna guerra fria: mudanças internas e política ex- terna nos anos 90</v>
      </c>
      <c r="B235" s="24" t="str">
        <f>IFERROR(__xludf.DUMMYFUNCTION("""COMPUTED_VALUE"""),"Marcos Antonio da Silva")</f>
        <v>Marcos Antonio da Silva</v>
      </c>
      <c r="C235" s="24" t="str">
        <f>IFERROR(__xludf.DUMMYFUNCTION("""COMPUTED_VALUE"""),"Dourados, MS")</f>
        <v>Dourados, MS</v>
      </c>
      <c r="D235" s="24" t="str">
        <f>IFERROR(__xludf.DUMMYFUNCTION("""COMPUTED_VALUE"""),"Editora da UFGD")</f>
        <v>Editora da UFGD</v>
      </c>
      <c r="E235" s="25">
        <f>IFERROR(__xludf.DUMMYFUNCTION("""COMPUTED_VALUE"""),2012.0)</f>
        <v>2012</v>
      </c>
      <c r="F235" s="24" t="str">
        <f>IFERROR(__xludf.DUMMYFUNCTION("""COMPUTED_VALUE"""),"Cuba – História; Cuba – Relações internacionais; Políti-ca cubana; Socialismo")</f>
        <v>Cuba – História; Cuba – Relações internacionais; Políti-ca cubana; Socialismo</v>
      </c>
      <c r="G235" s="28" t="str">
        <f>IFERROR(__xludf.DUMMYFUNCTION("""COMPUTED_VALUE"""),"9788581470153")</f>
        <v>9788581470153</v>
      </c>
      <c r="H235" s="29" t="str">
        <f>IFERROR(__xludf.DUMMYFUNCTION("""COMPUTED_VALUE"""),"http://omp.ufgd.edu.br/omp/index.php/livrosabertos/catalog/view/68/72/252-1")</f>
        <v>http://omp.ufgd.edu.br/omp/index.php/livrosabertos/catalog/view/68/72/252-1</v>
      </c>
      <c r="I235" s="24" t="str">
        <f>IFERROR(__xludf.DUMMYFUNCTION("""COMPUTED_VALUE"""),"Ciências Humanas")</f>
        <v>Ciências Humanas</v>
      </c>
    </row>
    <row r="236">
      <c r="A236" s="24" t="str">
        <f>IFERROR(__xludf.DUMMYFUNCTION("""COMPUTED_VALUE"""),"Cuba: as encruzilhadas de uma revolução")</f>
        <v>Cuba: as encruzilhadas de uma revolução</v>
      </c>
      <c r="B236" s="24" t="str">
        <f>IFERROR(__xludf.DUMMYFUNCTION("""COMPUTED_VALUE"""),"Marcos Antonio da Silva")</f>
        <v>Marcos Antonio da Silva</v>
      </c>
      <c r="C236" s="24" t="str">
        <f>IFERROR(__xludf.DUMMYFUNCTION("""COMPUTED_VALUE"""),"Dourados, MS")</f>
        <v>Dourados, MS</v>
      </c>
      <c r="D236" s="24" t="str">
        <f>IFERROR(__xludf.DUMMYFUNCTION("""COMPUTED_VALUE"""),"Ed. Universidade Federal da Grande Dourados")</f>
        <v>Ed. Universidade Federal da Grande Dourados</v>
      </c>
      <c r="E236" s="25">
        <f>IFERROR(__xludf.DUMMYFUNCTION("""COMPUTED_VALUE"""),2018.0)</f>
        <v>2018</v>
      </c>
      <c r="F236" s="24" t="str">
        <f>IFERROR(__xludf.DUMMYFUNCTION("""COMPUTED_VALUE"""),"Cuba - Política e governo; Cuba - Reforma política; Cuba - Reforma econômica; Cuba. Presidente (2008-2018 : Castro Ruz, Raúl, 1930- )")</f>
        <v>Cuba - Política e governo; Cuba - Reforma política; Cuba - Reforma econômica; Cuba. Presidente (2008-2018 : Castro Ruz, Raúl, 1930- )</v>
      </c>
      <c r="G236" s="28" t="str">
        <f>IFERROR(__xludf.DUMMYFUNCTION("""COMPUTED_VALUE"""),"9788581471549")</f>
        <v>9788581471549</v>
      </c>
      <c r="H236" s="29" t="str">
        <f>IFERROR(__xludf.DUMMYFUNCTION("""COMPUTED_VALUE"""),"http://omp.ufgd.edu.br/omp/index.php/livrosabertos/catalog/view/69/73/253-1")</f>
        <v>http://omp.ufgd.edu.br/omp/index.php/livrosabertos/catalog/view/69/73/253-1</v>
      </c>
      <c r="I236" s="24" t="str">
        <f>IFERROR(__xludf.DUMMYFUNCTION("""COMPUTED_VALUE"""),"Ciências Humanas")</f>
        <v>Ciências Humanas</v>
      </c>
    </row>
    <row r="237">
      <c r="A237" s="24" t="str">
        <f>IFERROR(__xludf.DUMMYFUNCTION("""COMPUTED_VALUE"""),"Cultura material escolar em perspectiva histórica: escritas e possibilidades (Coleção Horizontes Vol. 14)")</f>
        <v>Cultura material escolar em perspectiva histórica: escritas e possibilidades (Coleção Horizontes Vol. 14)</v>
      </c>
      <c r="B237" s="24" t="str">
        <f>IFERROR(__xludf.DUMMYFUNCTION("""COMPUTED_VALUE"""),"Vera Lucia Gaspar da Silva, Gizele de Souza, César Augusto Castro, organizadores")</f>
        <v>Vera Lucia Gaspar da Silva, Gizele de Souza, César Augusto Castro, organizadores</v>
      </c>
      <c r="C237" s="24" t="str">
        <f>IFERROR(__xludf.DUMMYFUNCTION("""COMPUTED_VALUE"""),"Vitória")</f>
        <v>Vitória</v>
      </c>
      <c r="D237" s="24" t="str">
        <f>IFERROR(__xludf.DUMMYFUNCTION("""COMPUTED_VALUE"""),"EDUFES")</f>
        <v>EDUFES</v>
      </c>
      <c r="E237" s="25">
        <f>IFERROR(__xludf.DUMMYFUNCTION("""COMPUTED_VALUE"""),2018.0)</f>
        <v>2018</v>
      </c>
      <c r="F237" s="24" t="str">
        <f>IFERROR(__xludf.DUMMYFUNCTION("""COMPUTED_VALUE"""),"Educação - História; Cultura material; Cultura escolar")</f>
        <v>Educação - História; Cultura material; Cultura escolar</v>
      </c>
      <c r="G237" s="28" t="str">
        <f>IFERROR(__xludf.DUMMYFUNCTION("""COMPUTED_VALUE"""),"9788577723911")</f>
        <v>9788577723911</v>
      </c>
      <c r="H237" s="29" t="str">
        <f>IFERROR(__xludf.DUMMYFUNCTION("""COMPUTED_VALUE"""),"http://repositorio.ufes.br/bitstream/10/11346/1/Livro_CULTURA_MATERIAL_ESCOLAR_EM_PERSPECTIVA_HIST%C3%93RICA_%28Vers%C3%A3o_DIGITAL_-_FINAL%29%20%283%29.pdf")</f>
        <v>http://repositorio.ufes.br/bitstream/10/11346/1/Livro_CULTURA_MATERIAL_ESCOLAR_EM_PERSPECTIVA_HIST%C3%93RICA_%28Vers%C3%A3o_DIGITAL_-_FINAL%29%20%283%29.pdf</v>
      </c>
      <c r="I237" s="24" t="str">
        <f>IFERROR(__xludf.DUMMYFUNCTION("""COMPUTED_VALUE"""),"Ciências Humanas")</f>
        <v>Ciências Humanas</v>
      </c>
    </row>
    <row r="238">
      <c r="A238" s="24" t="str">
        <f>IFERROR(__xludf.DUMMYFUNCTION("""COMPUTED_VALUE"""),"Cultura negra vol. 1: festas, carnavais e patrimônios negros")</f>
        <v>Cultura negra vol. 1: festas, carnavais e patrimônios negros</v>
      </c>
      <c r="B238" s="24" t="str">
        <f>IFERROR(__xludf.DUMMYFUNCTION("""COMPUTED_VALUE"""),"Organização de Martha Abreu, Giovana Xavier, Lívia Monteiro e Eric Brasil. ")</f>
        <v>Organização de Martha Abreu, Giovana Xavier, Lívia Monteiro e Eric Brasil. </v>
      </c>
      <c r="C238" s="24" t="str">
        <f>IFERROR(__xludf.DUMMYFUNCTION("""COMPUTED_VALUE"""),"Niterói, RJ")</f>
        <v>Niterói, RJ</v>
      </c>
      <c r="D238" s="24" t="str">
        <f>IFERROR(__xludf.DUMMYFUNCTION("""COMPUTED_VALUE"""),"EdUFF")</f>
        <v>EdUFF</v>
      </c>
      <c r="E238" s="25">
        <f>IFERROR(__xludf.DUMMYFUNCTION("""COMPUTED_VALUE"""),2018.0)</f>
        <v>2018</v>
      </c>
      <c r="F238" s="24" t="str">
        <f>IFERROR(__xludf.DUMMYFUNCTION("""COMPUTED_VALUE"""),"Patrimônio cultural; História cultural")</f>
        <v>Patrimônio cultural; História cultural</v>
      </c>
      <c r="G238" s="28" t="str">
        <f>IFERROR(__xludf.DUMMYFUNCTION("""COMPUTED_VALUE"""),"9788522813117")</f>
        <v>9788522813117</v>
      </c>
      <c r="H238" s="29" t="str">
        <f>IFERROR(__xludf.DUMMYFUNCTION("""COMPUTED_VALUE"""),"http://www.eduff.uff.br/ebooks/Cultura-negra-1.pdf")</f>
        <v>http://www.eduff.uff.br/ebooks/Cultura-negra-1.pdf</v>
      </c>
      <c r="I238" s="24" t="str">
        <f>IFERROR(__xludf.DUMMYFUNCTION("""COMPUTED_VALUE"""),"Ciências Humanas")</f>
        <v>Ciências Humanas</v>
      </c>
    </row>
    <row r="239">
      <c r="A239" s="24" t="str">
        <f>IFERROR(__xludf.DUMMYFUNCTION("""COMPUTED_VALUE"""),"Cultura negra vol. 2: trajetórias e lutas de intelectuais negros ")</f>
        <v>Cultura negra vol. 2: trajetórias e lutas de intelectuais negros </v>
      </c>
      <c r="B239" s="24" t="str">
        <f>IFERROR(__xludf.DUMMYFUNCTION("""COMPUTED_VALUE"""),"Organização de Martha Abreu, Giovana Xavier, Lívia Monteiro e Eric Brasil. ")</f>
        <v>Organização de Martha Abreu, Giovana Xavier, Lívia Monteiro e Eric Brasil. </v>
      </c>
      <c r="C239" s="24" t="str">
        <f>IFERROR(__xludf.DUMMYFUNCTION("""COMPUTED_VALUE"""),"Niterói, RJ")</f>
        <v>Niterói, RJ</v>
      </c>
      <c r="D239" s="24" t="str">
        <f>IFERROR(__xludf.DUMMYFUNCTION("""COMPUTED_VALUE"""),"EdUFF")</f>
        <v>EdUFF</v>
      </c>
      <c r="E239" s="25">
        <f>IFERROR(__xludf.DUMMYFUNCTION("""COMPUTED_VALUE"""),2018.0)</f>
        <v>2018</v>
      </c>
      <c r="F239" s="24" t="str">
        <f>IFERROR(__xludf.DUMMYFUNCTION("""COMPUTED_VALUE"""),"Patrimônio cultural; História cultural")</f>
        <v>Patrimônio cultural; História cultural</v>
      </c>
      <c r="G239" s="28" t="str">
        <f>IFERROR(__xludf.DUMMYFUNCTION("""COMPUTED_VALUE"""),"9788522813131")</f>
        <v>9788522813131</v>
      </c>
      <c r="H239" s="29" t="str">
        <f>IFERROR(__xludf.DUMMYFUNCTION("""COMPUTED_VALUE"""),"http://www.eduff.uff.br/ebooks/Cultura-negra-2.pdf")</f>
        <v>http://www.eduff.uff.br/ebooks/Cultura-negra-2.pdf</v>
      </c>
      <c r="I239" s="24" t="str">
        <f>IFERROR(__xludf.DUMMYFUNCTION("""COMPUTED_VALUE"""),"Ciências Humanas")</f>
        <v>Ciências Humanas</v>
      </c>
    </row>
    <row r="240">
      <c r="A240" s="24" t="str">
        <f>IFERROR(__xludf.DUMMYFUNCTION("""COMPUTED_VALUE"""),"Cultura, dialética e hegemonia: pesquisas em educação")</f>
        <v>Cultura, dialética e hegemonia: pesquisas em educação</v>
      </c>
      <c r="B240" s="24" t="str">
        <f>IFERROR(__xludf.DUMMYFUNCTION("""COMPUTED_VALUE"""),"Bernd Fichtner, Erineu Foerste, Marcelo Lima, Gerda Margit Schütz-Foerste, Organizadores")</f>
        <v>Bernd Fichtner, Erineu Foerste, Marcelo Lima, Gerda Margit Schütz-Foerste, Organizadores</v>
      </c>
      <c r="C240" s="24" t="str">
        <f>IFERROR(__xludf.DUMMYFUNCTION("""COMPUTED_VALUE"""),"Vitória")</f>
        <v>Vitória</v>
      </c>
      <c r="D240" s="24" t="str">
        <f>IFERROR(__xludf.DUMMYFUNCTION("""COMPUTED_VALUE"""),"EDUFES")</f>
        <v>EDUFES</v>
      </c>
      <c r="E240" s="25">
        <f>IFERROR(__xludf.DUMMYFUNCTION("""COMPUTED_VALUE"""),2013.0)</f>
        <v>2013</v>
      </c>
      <c r="F240" s="24" t="str">
        <f>IFERROR(__xludf.DUMMYFUNCTION("""COMPUTED_VALUE"""),"Educação; Pesquisa educacional; Cultura; Dialética; Hegemonia")</f>
        <v>Educação; Pesquisa educacional; Cultura; Dialética; Hegemonia</v>
      </c>
      <c r="G240" s="28" t="str">
        <f>IFERROR(__xludf.DUMMYFUNCTION("""COMPUTED_VALUE"""),"9788577721436")</f>
        <v>9788577721436</v>
      </c>
      <c r="H240" s="29" t="str">
        <f>IFERROR(__xludf.DUMMYFUNCTION("""COMPUTED_VALUE"""),"http://repositorio.ufes.br/bitstream/10/799/6/Versao%20digital%20atualizada%20livro%20edufes%20Cultura%2C%20dial%C3%A9tica%20e%20hegemonia%20%20pesquisas%20em%20educacao.pdf.pdf")</f>
        <v>http://repositorio.ufes.br/bitstream/10/799/6/Versao%20digital%20atualizada%20livro%20edufes%20Cultura%2C%20dial%C3%A9tica%20e%20hegemonia%20%20pesquisas%20em%20educacao.pdf.pdf</v>
      </c>
      <c r="I240" s="24" t="str">
        <f>IFERROR(__xludf.DUMMYFUNCTION("""COMPUTED_VALUE"""),"Ciências Humanas")</f>
        <v>Ciências Humanas</v>
      </c>
    </row>
    <row r="241">
      <c r="A241" s="24" t="str">
        <f>IFERROR(__xludf.DUMMYFUNCTION("""COMPUTED_VALUE"""),"Cultura, política e sociedade: estudos sobre a capoeira na contemporaneidade")</f>
        <v>Cultura, política e sociedade: estudos sobre a capoeira na contemporaneidade</v>
      </c>
      <c r="B241" s="24" t="str">
        <f>IFERROR(__xludf.DUMMYFUNCTION("""COMPUTED_VALUE"""),"Celso de Brito, Daniel Granada (org.)")</f>
        <v>Celso de Brito, Daniel Granada (org.)</v>
      </c>
      <c r="C241" s="24" t="str">
        <f>IFERROR(__xludf.DUMMYFUNCTION("""COMPUTED_VALUE"""),"Teresina")</f>
        <v>Teresina</v>
      </c>
      <c r="D241" s="24" t="str">
        <f>IFERROR(__xludf.DUMMYFUNCTION("""COMPUTED_VALUE"""),"EDUFPI")</f>
        <v>EDUFPI</v>
      </c>
      <c r="E241" s="25">
        <f>IFERROR(__xludf.DUMMYFUNCTION("""COMPUTED_VALUE"""),2020.0)</f>
        <v>2020</v>
      </c>
      <c r="F241" s="24" t="str">
        <f>IFERROR(__xludf.DUMMYFUNCTION("""COMPUTED_VALUE"""),"Antropologia; Capoeira; Política; Sociedade")</f>
        <v>Antropologia; Capoeira; Política; Sociedade</v>
      </c>
      <c r="G241" s="28" t="str">
        <f>IFERROR(__xludf.DUMMYFUNCTION("""COMPUTED_VALUE"""),"978658671204")</f>
        <v>978658671204</v>
      </c>
      <c r="H241" s="29" t="str">
        <f>IFERROR(__xludf.DUMMYFUNCTION("""COMPUTED_VALUE"""),"https://www.ufpi.br/arquivos_download/arquivos/livro_digital1_120200609161144.pdf")</f>
        <v>https://www.ufpi.br/arquivos_download/arquivos/livro_digital1_120200609161144.pdf</v>
      </c>
      <c r="I241" s="24" t="str">
        <f>IFERROR(__xludf.DUMMYFUNCTION("""COMPUTED_VALUE"""),"Ciências Humanas")</f>
        <v>Ciências Humanas</v>
      </c>
    </row>
    <row r="242">
      <c r="A242" s="24" t="str">
        <f>IFERROR(__xludf.DUMMYFUNCTION("""COMPUTED_VALUE"""),"Currículo e interdisciplinaridade na formação de professores")</f>
        <v>Currículo e interdisciplinaridade na formação de professores</v>
      </c>
      <c r="B242" s="24" t="str">
        <f>IFERROR(__xludf.DUMMYFUNCTION("""COMPUTED_VALUE"""),"Valda Inês Fontenele Pessoa")</f>
        <v>Valda Inês Fontenele Pessoa</v>
      </c>
      <c r="C242" s="24" t="str">
        <f>IFERROR(__xludf.DUMMYFUNCTION("""COMPUTED_VALUE"""),"Rio Branco")</f>
        <v>Rio Branco</v>
      </c>
      <c r="D242" s="24" t="str">
        <f>IFERROR(__xludf.DUMMYFUNCTION("""COMPUTED_VALUE"""),"Edufac")</f>
        <v>Edufac</v>
      </c>
      <c r="E242" s="25">
        <f>IFERROR(__xludf.DUMMYFUNCTION("""COMPUTED_VALUE"""),2016.0)</f>
        <v>2016</v>
      </c>
      <c r="F242" s="24" t="str">
        <f>IFERROR(__xludf.DUMMYFUNCTION("""COMPUTED_VALUE"""),"Professores – Formação; Currículos; Interdisciplinaridade; Práticas pedagógicas – Estudo e ensino")</f>
        <v>Professores – Formação; Currículos; Interdisciplinaridade; Práticas pedagógicas – Estudo e ensino</v>
      </c>
      <c r="G242" s="28" t="str">
        <f>IFERROR(__xludf.DUMMYFUNCTION("""COMPUTED_VALUE"""),"9788582360309")</f>
        <v>9788582360309</v>
      </c>
      <c r="H242" s="29" t="str">
        <f>IFERROR(__xludf.DUMMYFUNCTION("""COMPUTED_VALUE"""),"http://www2.ufac.br/editora/livros/curriculo-e-interdisciplinaridade.pdf")</f>
        <v>http://www2.ufac.br/editora/livros/curriculo-e-interdisciplinaridade.pdf</v>
      </c>
      <c r="I242" s="24" t="str">
        <f>IFERROR(__xludf.DUMMYFUNCTION("""COMPUTED_VALUE"""),"Ciências Humanas")</f>
        <v>Ciências Humanas</v>
      </c>
    </row>
    <row r="243">
      <c r="A243" s="24" t="str">
        <f>IFERROR(__xludf.DUMMYFUNCTION("""COMPUTED_VALUE"""),"Currículo, docência e cultura")</f>
        <v>Currículo, docência e cultura</v>
      </c>
      <c r="B243" s="24" t="str">
        <f>IFERROR(__xludf.DUMMYFUNCTION("""COMPUTED_VALUE"""),"Sandra Escovedo Selles, Mariana Cassab (org.)")</f>
        <v>Sandra Escovedo Selles, Mariana Cassab (org.)</v>
      </c>
      <c r="C243" s="24" t="str">
        <f>IFERROR(__xludf.DUMMYFUNCTION("""COMPUTED_VALUE"""),"Niterói, RJ")</f>
        <v>Niterói, RJ</v>
      </c>
      <c r="D243" s="24" t="str">
        <f>IFERROR(__xludf.DUMMYFUNCTION("""COMPUTED_VALUE"""),"Editora da UFF")</f>
        <v>Editora da UFF</v>
      </c>
      <c r="E243" s="25">
        <f>IFERROR(__xludf.DUMMYFUNCTION("""COMPUTED_VALUE"""),2012.0)</f>
        <v>2012</v>
      </c>
      <c r="F243" s="24" t="str">
        <f>IFERROR(__xludf.DUMMYFUNCTION("""COMPUTED_VALUE"""),"Educação; Pesquisa")</f>
        <v>Educação; Pesquisa</v>
      </c>
      <c r="G243" s="28" t="str">
        <f>IFERROR(__xludf.DUMMYFUNCTION("""COMPUTED_VALUE"""),"9788522808342")</f>
        <v>9788522808342</v>
      </c>
      <c r="H243" s="29" t="str">
        <f>IFERROR(__xludf.DUMMYFUNCTION("""COMPUTED_VALUE"""),"http://bit.ly/Curriculo-docencia-e-cultura")</f>
        <v>http://bit.ly/Curriculo-docencia-e-cultura</v>
      </c>
      <c r="I243" s="24" t="str">
        <f>IFERROR(__xludf.DUMMYFUNCTION("""COMPUTED_VALUE"""),"Ciências Humanas")</f>
        <v>Ciências Humanas</v>
      </c>
    </row>
    <row r="244">
      <c r="A244" s="24" t="str">
        <f>IFERROR(__xludf.DUMMYFUNCTION("""COMPUTED_VALUE"""),"Currículos, gêneros e sexualidades: experiências misturadas e compartilhadas")</f>
        <v>Currículos, gêneros e sexualidades: experiências misturadas e compartilhadas</v>
      </c>
      <c r="B244" s="24" t="str">
        <f>IFERROR(__xludf.DUMMYFUNCTION("""COMPUTED_VALUE"""),"Alexsandro Rodrigues, Maria Aparecida Santos Corrêa Barreto, organizadores")</f>
        <v>Alexsandro Rodrigues, Maria Aparecida Santos Corrêa Barreto, organizadores</v>
      </c>
      <c r="C244" s="24" t="str">
        <f>IFERROR(__xludf.DUMMYFUNCTION("""COMPUTED_VALUE"""),"Vitória")</f>
        <v>Vitória</v>
      </c>
      <c r="D244" s="24" t="str">
        <f>IFERROR(__xludf.DUMMYFUNCTION("""COMPUTED_VALUE"""),"EDUFES")</f>
        <v>EDUFES</v>
      </c>
      <c r="E244" s="25">
        <f>IFERROR(__xludf.DUMMYFUNCTION("""COMPUTED_VALUE"""),2013.0)</f>
        <v>2013</v>
      </c>
      <c r="F244" s="24" t="str">
        <f>IFERROR(__xludf.DUMMYFUNCTION("""COMPUTED_VALUE"""),"Currículos; Identidade de gênero na educação; Sexo; Psicologia educacional")</f>
        <v>Currículos; Identidade de gênero na educação; Sexo; Psicologia educacional</v>
      </c>
      <c r="G244" s="28" t="str">
        <f>IFERROR(__xludf.DUMMYFUNCTION("""COMPUTED_VALUE"""),"9788577721542")</f>
        <v>9788577721542</v>
      </c>
      <c r="H244" s="29" t="str">
        <f>IFERROR(__xludf.DUMMYFUNCTION("""COMPUTED_VALUE"""),"http://repositorio.ufes.br/bitstream/10/821/1/livro%20edufes%20Curr%C3%ADculos%2C%20g%C3%AAneros%20e%20sexualidades%20experi%C3%AAncias%20misturadas%20e%20compartilhadas.pdf")</f>
        <v>http://repositorio.ufes.br/bitstream/10/821/1/livro%20edufes%20Curr%C3%ADculos%2C%20g%C3%AAneros%20e%20sexualidades%20experi%C3%AAncias%20misturadas%20e%20compartilhadas.pdf</v>
      </c>
      <c r="I244" s="24" t="str">
        <f>IFERROR(__xludf.DUMMYFUNCTION("""COMPUTED_VALUE"""),"Ciências Humanas")</f>
        <v>Ciências Humanas</v>
      </c>
    </row>
    <row r="245">
      <c r="A245" s="24" t="str">
        <f>IFERROR(__xludf.DUMMYFUNCTION("""COMPUTED_VALUE"""),"Curso básico: educação especial e atendimento educacional especializado")</f>
        <v>Curso básico: educação especial e atendimento educacional especializado</v>
      </c>
      <c r="B245" s="24" t="str">
        <f>IFERROR(__xludf.DUMMYFUNCTION("""COMPUTED_VALUE"""),"Juliene Madureira Ferreira, Claudia Dechichi, Lázara Cristina da Silva (Organizadoras)")</f>
        <v>Juliene Madureira Ferreira, Claudia Dechichi, Lázara Cristina da Silva (Organizadoras)</v>
      </c>
      <c r="C245" s="24" t="str">
        <f>IFERROR(__xludf.DUMMYFUNCTION("""COMPUTED_VALUE"""),"Uberlândia")</f>
        <v>Uberlândia</v>
      </c>
      <c r="D245" s="24" t="str">
        <f>IFERROR(__xludf.DUMMYFUNCTION("""COMPUTED_VALUE"""),"EDUFU")</f>
        <v>EDUFU</v>
      </c>
      <c r="E245" s="25">
        <f>IFERROR(__xludf.DUMMYFUNCTION("""COMPUTED_VALUE"""),2012.0)</f>
        <v>2012</v>
      </c>
      <c r="F245" s="24" t="str">
        <f>IFERROR(__xludf.DUMMYFUNCTION("""COMPUTED_VALUE"""),"Educação especial; Inclusão em educação; Ensino a distância; Professores - Formação. I. Ferreira, Juliene Madureira. II. Dechichi, Claudia. III. Silva, Lázara Cristina da. IV. Série")</f>
        <v>Educação especial; Inclusão em educação; Ensino a distância; Professores - Formação. I. Ferreira, Juliene Madureira. II. Dechichi, Claudia. III. Silva, Lázara Cristina da. IV. Série</v>
      </c>
      <c r="G245" s="28" t="str">
        <f>IFERROR(__xludf.DUMMYFUNCTION("""COMPUTED_VALUE"""),"9788570783172")</f>
        <v>9788570783172</v>
      </c>
      <c r="H245" s="29" t="str">
        <f>IFERROR(__xludf.DUMMYFUNCTION("""COMPUTED_VALUE"""),"http://www.edufu.ufu.br/sites/edufu.ufu.br/files/e-book_curso_basico_educacao_especial_v1_0.pdf")</f>
        <v>http://www.edufu.ufu.br/sites/edufu.ufu.br/files/e-book_curso_basico_educacao_especial_v1_0.pdf</v>
      </c>
      <c r="I245" s="24" t="str">
        <f>IFERROR(__xludf.DUMMYFUNCTION("""COMPUTED_VALUE"""),"Ciências Humanas")</f>
        <v>Ciências Humanas</v>
      </c>
    </row>
    <row r="246">
      <c r="A246" s="24" t="str">
        <f>IFERROR(__xludf.DUMMYFUNCTION("""COMPUTED_VALUE"""),"Cursos pré-vestibulares comunitários: espaços de mediações pedagógicas")</f>
        <v>Cursos pré-vestibulares comunitários: espaços de mediações pedagógicas</v>
      </c>
      <c r="B246" s="24" t="str">
        <f>IFERROR(__xludf.DUMMYFUNCTION("""COMPUTED_VALUE"""),"organizadores:; José Carmelo Braz de Carvalho; Hélcio Alvim Filho; Renato Pontes Costa")</f>
        <v>organizadores:; José Carmelo Braz de Carvalho; Hélcio Alvim Filho; Renato Pontes Costa</v>
      </c>
      <c r="C246" s="24" t="str">
        <f>IFERROR(__xludf.DUMMYFUNCTION("""COMPUTED_VALUE"""),"Rio de Janeiro")</f>
        <v>Rio de Janeiro</v>
      </c>
      <c r="D246" s="24" t="str">
        <f>IFERROR(__xludf.DUMMYFUNCTION("""COMPUTED_VALUE"""),"Editora PUC Rio")</f>
        <v>Editora PUC Rio</v>
      </c>
      <c r="E246" s="25">
        <f>IFERROR(__xludf.DUMMYFUNCTION("""COMPUTED_VALUE"""),2008.0)</f>
        <v>2008</v>
      </c>
      <c r="F246" s="24" t="str">
        <f>IFERROR(__xludf.DUMMYFUNCTION("""COMPUTED_VALUE"""),"Educação comunitária. Exame vestibular")</f>
        <v>Educação comunitária. Exame vestibular</v>
      </c>
      <c r="G246" s="28" t="str">
        <f>IFERROR(__xludf.DUMMYFUNCTION("""COMPUTED_VALUE"""),"9788587926296")</f>
        <v>9788587926296</v>
      </c>
      <c r="H246" s="29" t="str">
        <f>IFERROR(__xludf.DUMMYFUNCTION("""COMPUTED_VALUE"""),"http://www.editora.puc-rio.br/media/ebook_pre-vestibulares.pdf")</f>
        <v>http://www.editora.puc-rio.br/media/ebook_pre-vestibulares.pdf</v>
      </c>
      <c r="I246" s="24" t="str">
        <f>IFERROR(__xludf.DUMMYFUNCTION("""COMPUTED_VALUE"""),"Ciências Humanas")</f>
        <v>Ciências Humanas</v>
      </c>
    </row>
    <row r="247">
      <c r="A247" s="24" t="str">
        <f>IFERROR(__xludf.DUMMYFUNCTION("""COMPUTED_VALUE"""),"Curupiras: Colonialidades &amp; outras Epistemologias")</f>
        <v>Curupiras: Colonialidades &amp; outras Epistemologias</v>
      </c>
      <c r="B247" s="24" t="str">
        <f>IFERROR(__xludf.DUMMYFUNCTION("""COMPUTED_VALUE"""),"Julia Benzaquen e Francisco Sá Barreto (org.)")</f>
        <v>Julia Benzaquen e Francisco Sá Barreto (org.)</v>
      </c>
      <c r="C247" s="24" t="str">
        <f>IFERROR(__xludf.DUMMYFUNCTION("""COMPUTED_VALUE"""),"Recife")</f>
        <v>Recife</v>
      </c>
      <c r="D247" s="24" t="str">
        <f>IFERROR(__xludf.DUMMYFUNCTION("""COMPUTED_VALUE"""),"Editora Universitária da UFRPE")</f>
        <v>Editora Universitária da UFRPE</v>
      </c>
      <c r="E247" s="25">
        <f>IFERROR(__xludf.DUMMYFUNCTION("""COMPUTED_VALUE"""),2017.0)</f>
        <v>2017</v>
      </c>
      <c r="F247" s="24" t="str">
        <f>IFERROR(__xludf.DUMMYFUNCTION("""COMPUTED_VALUE"""),"Pós-colonialismos; Outros saberes; Resistências; Cultural visual; Processos de subjetivação")</f>
        <v>Pós-colonialismos; Outros saberes; Resistências; Cultural visual; Processos de subjetivação</v>
      </c>
      <c r="G247" s="28" t="str">
        <f>IFERROR(__xludf.DUMMYFUNCTION("""COMPUTED_VALUE"""),"9788579463044")</f>
        <v>9788579463044</v>
      </c>
      <c r="H247" s="29" t="str">
        <f>IFERROR(__xludf.DUMMYFUNCTION("""COMPUTED_VALUE"""),"https://docs.wixstatic.com/ugd/719689_94a3090388ff44428ed669d81b8006ad.pdf")</f>
        <v>https://docs.wixstatic.com/ugd/719689_94a3090388ff44428ed669d81b8006ad.pdf</v>
      </c>
      <c r="I247" s="24" t="str">
        <f>IFERROR(__xludf.DUMMYFUNCTION("""COMPUTED_VALUE"""),"Ciências Humanas")</f>
        <v>Ciências Humanas</v>
      </c>
    </row>
    <row r="248">
      <c r="A248" s="24" t="str">
        <f>IFERROR(__xludf.DUMMYFUNCTION("""COMPUTED_VALUE"""),"Da Escola de Iniciação Agrícola ao Instituto Federal Catarinense")</f>
        <v>Da Escola de Iniciação Agrícola ao Instituto Federal Catarinense</v>
      </c>
      <c r="B248" s="24" t="str">
        <f>IFERROR(__xludf.DUMMYFUNCTION("""COMPUTED_VALUE"""),"Gisele Gutstein Güttschow. Marilândes Mól Ribeiro de Melo. Raquel Rybandt")</f>
        <v>Gisele Gutstein Güttschow. Marilândes Mól Ribeiro de Melo. Raquel Rybandt</v>
      </c>
      <c r="C248" s="24" t="str">
        <f>IFERROR(__xludf.DUMMYFUNCTION("""COMPUTED_VALUE"""),"Blumenau")</f>
        <v>Blumenau</v>
      </c>
      <c r="D248" s="24" t="str">
        <f>IFERROR(__xludf.DUMMYFUNCTION("""COMPUTED_VALUE"""),"Instituto Federal Catarinense")</f>
        <v>Instituto Federal Catarinense</v>
      </c>
      <c r="E248" s="25">
        <f>IFERROR(__xludf.DUMMYFUNCTION("""COMPUTED_VALUE"""),2019.0)</f>
        <v>2019</v>
      </c>
      <c r="F248" s="24" t="str">
        <f>IFERROR(__xludf.DUMMYFUNCTION("""COMPUTED_VALUE"""),"Instituto Federal de Educação, Ciência e Tecnologia Catarinense. Educação - História. Araquari - História")</f>
        <v>Instituto Federal de Educação, Ciência e Tecnologia Catarinense. Educação - História. Araquari - História</v>
      </c>
      <c r="G248" s="28" t="str">
        <f>IFERROR(__xludf.DUMMYFUNCTION("""COMPUTED_VALUE"""),"9788556440334")</f>
        <v>9788556440334</v>
      </c>
      <c r="H248" s="29" t="str">
        <f>IFERROR(__xludf.DUMMYFUNCTION("""COMPUTED_VALUE"""),"https://editora.ifc.edu.br/2019/07/16/da-escola-de-iniciacao-agricola-ao-instituto-federal-catarinense/")</f>
        <v>https://editora.ifc.edu.br/2019/07/16/da-escola-de-iniciacao-agricola-ao-instituto-federal-catarinense/</v>
      </c>
      <c r="I248" s="24" t="str">
        <f>IFERROR(__xludf.DUMMYFUNCTION("""COMPUTED_VALUE"""),"Ciências Humanas")</f>
        <v>Ciências Humanas</v>
      </c>
    </row>
    <row r="249">
      <c r="A249" s="24" t="str">
        <f>IFERROR(__xludf.DUMMYFUNCTION("""COMPUTED_VALUE"""),"Da gênese aos compromissos: uma história da UERJ (1950-1978)")</f>
        <v>Da gênese aos compromissos: uma história da UERJ (1950-1978)</v>
      </c>
      <c r="B249" s="24" t="str">
        <f>IFERROR(__xludf.DUMMYFUNCTION("""COMPUTED_VALUE"""),"Deise Mancebo")</f>
        <v>Deise Mancebo</v>
      </c>
      <c r="C249" s="24" t="str">
        <f>IFERROR(__xludf.DUMMYFUNCTION("""COMPUTED_VALUE"""),"Rio de Janeiro")</f>
        <v>Rio de Janeiro</v>
      </c>
      <c r="D249" s="24" t="str">
        <f>IFERROR(__xludf.DUMMYFUNCTION("""COMPUTED_VALUE"""),"EdUERJ")</f>
        <v>EdUERJ</v>
      </c>
      <c r="E249" s="25">
        <f>IFERROR(__xludf.DUMMYFUNCTION("""COMPUTED_VALUE"""),2016.0)</f>
        <v>2016</v>
      </c>
      <c r="F249" s="24" t="str">
        <f>IFERROR(__xludf.DUMMYFUNCTION("""COMPUTED_VALUE"""),"Universidade do Estado do Rio de Janeiro; História; Universidades")</f>
        <v>Universidade do Estado do Rio de Janeiro; História; Universidades</v>
      </c>
      <c r="G249" s="28" t="str">
        <f>IFERROR(__xludf.DUMMYFUNCTION("""COMPUTED_VALUE"""),"9788575114209")</f>
        <v>9788575114209</v>
      </c>
      <c r="H249" s="29" t="str">
        <f>IFERROR(__xludf.DUMMYFUNCTION("""COMPUTED_VALUE"""),"https://www.eduerj.com/eng/?product=da-genese-aos-compromissos-uma-historia-da-uerj-1950-1978")</f>
        <v>https://www.eduerj.com/eng/?product=da-genese-aos-compromissos-uma-historia-da-uerj-1950-1978</v>
      </c>
      <c r="I249" s="24" t="str">
        <f>IFERROR(__xludf.DUMMYFUNCTION("""COMPUTED_VALUE"""),"Ciências Humanas")</f>
        <v>Ciências Humanas</v>
      </c>
    </row>
    <row r="250">
      <c r="A250" s="24" t="str">
        <f>IFERROR(__xludf.DUMMYFUNCTION("""COMPUTED_VALUE"""),"Da instabilidade e dos afetos mbyá Paciﬁcando relações, amansando Outros")</f>
        <v>Da instabilidade e dos afetos mbyá Paciﬁcando relações, amansando Outros</v>
      </c>
      <c r="B250" s="24" t="str">
        <f>IFERROR(__xludf.DUMMYFUNCTION("""COMPUTED_VALUE"""),"Maria Paula Prates")</f>
        <v>Maria Paula Prates</v>
      </c>
      <c r="C250" s="24" t="str">
        <f>IFERROR(__xludf.DUMMYFUNCTION("""COMPUTED_VALUE"""),"Porto Alegre")</f>
        <v>Porto Alegre</v>
      </c>
      <c r="D250" s="24" t="str">
        <f>IFERROR(__xludf.DUMMYFUNCTION("""COMPUTED_VALUE"""),"UFCSPA ")</f>
        <v>UFCSPA </v>
      </c>
      <c r="E250" s="25">
        <f>IFERROR(__xludf.DUMMYFUNCTION("""COMPUTED_VALUE"""),2019.0)</f>
        <v>2019</v>
      </c>
      <c r="F250" s="24" t="str">
        <f>IFERROR(__xludf.DUMMYFUNCTION("""COMPUTED_VALUE"""),"Comunidade indígena Cultura indígena Antropologia social Etnologia indígena Índios mbyá-guarani")</f>
        <v>Comunidade indígena Cultura indígena Antropologia social Etnologia indígena Índios mbyá-guarani</v>
      </c>
      <c r="G250" s="28" t="str">
        <f>IFERROR(__xludf.DUMMYFUNCTION("""COMPUTED_VALUE"""),"9788592652135")</f>
        <v>9788592652135</v>
      </c>
      <c r="H250" s="29" t="str">
        <f>IFERROR(__xludf.DUMMYFUNCTION("""COMPUTED_VALUE"""),"https://www.ufcspa.edu.br/editora_log/download.php?cod=008&amp;tipo=pdf")</f>
        <v>https://www.ufcspa.edu.br/editora_log/download.php?cod=008&amp;tipo=pdf</v>
      </c>
      <c r="I250" s="24" t="str">
        <f>IFERROR(__xludf.DUMMYFUNCTION("""COMPUTED_VALUE"""),"Ciências Humanas")</f>
        <v>Ciências Humanas</v>
      </c>
    </row>
    <row r="251">
      <c r="A251" s="24" t="str">
        <f>IFERROR(__xludf.DUMMYFUNCTION("""COMPUTED_VALUE"""),"Da Justiça em nome d’El Rey: Justiça, Ouvidores e Inconfidência no Centro-Sul da América Portuguesa")</f>
        <v>Da Justiça em nome d’El Rey: Justiça, Ouvidores e Inconfidência no Centro-Sul da América Portuguesa</v>
      </c>
      <c r="B251" s="24" t="str">
        <f>IFERROR(__xludf.DUMMYFUNCTION("""COMPUTED_VALUE"""),"Claudia Cristina Azeredo Atallah")</f>
        <v>Claudia Cristina Azeredo Atallah</v>
      </c>
      <c r="C251" s="24" t="str">
        <f>IFERROR(__xludf.DUMMYFUNCTION("""COMPUTED_VALUE"""),"Rio de Janeiro")</f>
        <v>Rio de Janeiro</v>
      </c>
      <c r="D251" s="24" t="str">
        <f>IFERROR(__xludf.DUMMYFUNCTION("""COMPUTED_VALUE"""),"EdUERJ")</f>
        <v>EdUERJ</v>
      </c>
      <c r="E251" s="25">
        <f>IFERROR(__xludf.DUMMYFUNCTION("""COMPUTED_VALUE"""),2016.0)</f>
        <v>2016</v>
      </c>
      <c r="F251" s="24" t="str">
        <f>IFERROR(__xludf.DUMMYFUNCTION("""COMPUTED_VALUE"""),"História; Ouvidores; Inconfidência; America Portuguesa")</f>
        <v>História; Ouvidores; Inconfidência; America Portuguesa</v>
      </c>
      <c r="G251" s="28" t="str">
        <f>IFERROR(__xludf.DUMMYFUNCTION("""COMPUTED_VALUE"""),"9788575113837")</f>
        <v>9788575113837</v>
      </c>
      <c r="H251" s="29" t="str">
        <f>IFERROR(__xludf.DUMMYFUNCTION("""COMPUTED_VALUE"""),"https://www.eduerj.com/eng/?product=da-justica-em-nome-del-rey-justica-ouvidores-e-inconfidencia-no-centro-sul-da-america-portuguesa-ebook")</f>
        <v>https://www.eduerj.com/eng/?product=da-justica-em-nome-del-rey-justica-ouvidores-e-inconfidencia-no-centro-sul-da-america-portuguesa-ebook</v>
      </c>
      <c r="I251" s="24" t="str">
        <f>IFERROR(__xludf.DUMMYFUNCTION("""COMPUTED_VALUE"""),"Ciências Humanas")</f>
        <v>Ciências Humanas</v>
      </c>
    </row>
    <row r="252">
      <c r="A252" s="24" t="str">
        <f>IFERROR(__xludf.DUMMYFUNCTION("""COMPUTED_VALUE"""),"Da porteira para fora: mundo de preto em terra de branco / Ruy do Carmo Póvoas")</f>
        <v>Da porteira para fora: mundo de preto em terra de branco / Ruy do Carmo Póvoas</v>
      </c>
      <c r="B252" s="24" t="str">
        <f>IFERROR(__xludf.DUMMYFUNCTION("""COMPUTED_VALUE"""),"Ruy do Carmo Póvoas")</f>
        <v>Ruy do Carmo Póvoas</v>
      </c>
      <c r="C252" s="24" t="str">
        <f>IFERROR(__xludf.DUMMYFUNCTION("""COMPUTED_VALUE"""),"Ilhéus, BA")</f>
        <v>Ilhéus, BA</v>
      </c>
      <c r="D252" s="24" t="str">
        <f>IFERROR(__xludf.DUMMYFUNCTION("""COMPUTED_VALUE"""),"Editus")</f>
        <v>Editus</v>
      </c>
      <c r="E252" s="25">
        <f>IFERROR(__xludf.DUMMYFUNCTION("""COMPUTED_VALUE"""),2007.0)</f>
        <v>2007</v>
      </c>
      <c r="F252" s="24" t="str">
        <f>IFERROR(__xludf.DUMMYFUNCTION("""COMPUTED_VALUE"""),"Religiões – Bahia, Sul;Candomblé – Bahia; Gestão do; conhecimento")</f>
        <v>Religiões – Bahia, Sul;Candomblé – Bahia; Gestão do; conhecimento</v>
      </c>
      <c r="G252" s="28" t="str">
        <f>IFERROR(__xludf.DUMMYFUNCTION("""COMPUTED_VALUE"""),"9788574551302")</f>
        <v>9788574551302</v>
      </c>
      <c r="H252" s="29" t="str">
        <f>IFERROR(__xludf.DUMMYFUNCTION("""COMPUTED_VALUE"""),"http://www.uesc.br/editora/livrosdigitais2015/da_porteira_pra_fora.pdf")</f>
        <v>http://www.uesc.br/editora/livrosdigitais2015/da_porteira_pra_fora.pdf</v>
      </c>
      <c r="I252" s="24" t="str">
        <f>IFERROR(__xludf.DUMMYFUNCTION("""COMPUTED_VALUE"""),"Ciências Humanas")</f>
        <v>Ciências Humanas</v>
      </c>
    </row>
    <row r="253">
      <c r="A253" s="24" t="str">
        <f>IFERROR(__xludf.DUMMYFUNCTION("""COMPUTED_VALUE"""),"Dádiva, cultura e sociedade")</f>
        <v>Dádiva, cultura e sociedade</v>
      </c>
      <c r="B253" s="24" t="str">
        <f>IFERROR(__xludf.DUMMYFUNCTION("""COMPUTED_VALUE"""),"Organização; Júlio Aurélio Vianna Lopes; Paulo Henrique Martins; Alda Lacerda")</f>
        <v>Organização; Júlio Aurélio Vianna Lopes; Paulo Henrique Martins; Alda Lacerda</v>
      </c>
      <c r="C253" s="24" t="str">
        <f>IFERROR(__xludf.DUMMYFUNCTION("""COMPUTED_VALUE"""),"Rio de Janeiro")</f>
        <v>Rio de Janeiro</v>
      </c>
      <c r="D253" s="24" t="str">
        <f>IFERROR(__xludf.DUMMYFUNCTION("""COMPUTED_VALUE"""),"Fundação Casa de Rui Barbosa")</f>
        <v>Fundação Casa de Rui Barbosa</v>
      </c>
      <c r="E253" s="25">
        <f>IFERROR(__xludf.DUMMYFUNCTION("""COMPUTED_VALUE"""),2017.0)</f>
        <v>2017</v>
      </c>
      <c r="F253" s="24" t="str">
        <f>IFERROR(__xludf.DUMMYFUNCTION("""COMPUTED_VALUE"""),"Dádiva. Cultura. Sociedade")</f>
        <v>Dádiva. Cultura. Sociedade</v>
      </c>
      <c r="G253" s="28" t="str">
        <f>IFERROR(__xludf.DUMMYFUNCTION("""COMPUTED_VALUE"""),"9788570043535")</f>
        <v>9788570043535</v>
      </c>
      <c r="H253" s="29" t="str">
        <f>IFERROR(__xludf.DUMMYFUNCTION("""COMPUTED_VALUE"""),"http://www.casaruibarbosa.gov.br/arquivos/file/eBooks/eBook_Dadiva.pdf")</f>
        <v>http://www.casaruibarbosa.gov.br/arquivos/file/eBooks/eBook_Dadiva.pdf</v>
      </c>
      <c r="I253" s="24" t="str">
        <f>IFERROR(__xludf.DUMMYFUNCTION("""COMPUTED_VALUE"""),"Ciências Humanas")</f>
        <v>Ciências Humanas</v>
      </c>
    </row>
    <row r="254">
      <c r="A254" s="24" t="str">
        <f>IFERROR(__xludf.DUMMYFUNCTION("""COMPUTED_VALUE"""),"Darwin: ensaios e controvérsias")</f>
        <v>Darwin: ensaios e controvérsias</v>
      </c>
      <c r="B254" s="24" t="str">
        <f>IFERROR(__xludf.DUMMYFUNCTION("""COMPUTED_VALUE"""),"Albert Ditchfield, Arthur Araújo, organizadores")</f>
        <v>Albert Ditchfield, Arthur Araújo, organizadores</v>
      </c>
      <c r="C254" s="24" t="str">
        <f>IFERROR(__xludf.DUMMYFUNCTION("""COMPUTED_VALUE"""),"Vitória")</f>
        <v>Vitória</v>
      </c>
      <c r="D254" s="24" t="str">
        <f>IFERROR(__xludf.DUMMYFUNCTION("""COMPUTED_VALUE"""),"EDUFES")</f>
        <v>EDUFES</v>
      </c>
      <c r="E254" s="25">
        <f>IFERROR(__xludf.DUMMYFUNCTION("""COMPUTED_VALUE"""),2013.0)</f>
        <v>2013</v>
      </c>
      <c r="F254" s="24" t="str">
        <f>IFERROR(__xludf.DUMMYFUNCTION("""COMPUTED_VALUE"""),"Filosofia; Psicologia; Naturalismo; Evolução")</f>
        <v>Filosofia; Psicologia; Naturalismo; Evolução</v>
      </c>
      <c r="G254" s="28" t="str">
        <f>IFERROR(__xludf.DUMMYFUNCTION("""COMPUTED_VALUE"""),"9788577721528")</f>
        <v>9788577721528</v>
      </c>
      <c r="H254" s="29" t="str">
        <f>IFERROR(__xludf.DUMMYFUNCTION("""COMPUTED_VALUE"""),"http://repositorio.ufes.br/bitstream/10/801/1/livro%20edufes%20Darwin%20ensaios%20e%20controv%C3%A9rsias.pdf")</f>
        <v>http://repositorio.ufes.br/bitstream/10/801/1/livro%20edufes%20Darwin%20ensaios%20e%20controv%C3%A9rsias.pdf</v>
      </c>
      <c r="I254" s="24" t="str">
        <f>IFERROR(__xludf.DUMMYFUNCTION("""COMPUTED_VALUE"""),"Ciências Humanas")</f>
        <v>Ciências Humanas</v>
      </c>
    </row>
    <row r="255">
      <c r="A255" s="24" t="str">
        <f>IFERROR(__xludf.DUMMYFUNCTION("""COMPUTED_VALUE"""),"David Émile Durkheim: a atualidade de um clássico")</f>
        <v>David Émile Durkheim: a atualidade de um clássico</v>
      </c>
      <c r="B255" s="24" t="str">
        <f>IFERROR(__xludf.DUMMYFUNCTION("""COMPUTED_VALUE"""),"Cohn, Gabriel; Weiss, Raquel; Oliveira, Márcio de")</f>
        <v>Cohn, Gabriel; Weiss, Raquel; Oliveira, Márcio de</v>
      </c>
      <c r="C255" s="24" t="str">
        <f>IFERROR(__xludf.DUMMYFUNCTION("""COMPUTED_VALUE"""),"Curitiba")</f>
        <v>Curitiba</v>
      </c>
      <c r="D255" s="24" t="str">
        <f>IFERROR(__xludf.DUMMYFUNCTION("""COMPUTED_VALUE"""),"UFPR")</f>
        <v>UFPR</v>
      </c>
      <c r="E255" s="25">
        <f>IFERROR(__xludf.DUMMYFUNCTION("""COMPUTED_VALUE"""),2011.0)</f>
        <v>2011</v>
      </c>
      <c r="F255" s="24" t="str">
        <f>IFERROR(__xludf.DUMMYFUNCTION("""COMPUTED_VALUE"""),"Durkheim, Emile, 1858-1917; Ciências sociais")</f>
        <v>Durkheim, Emile, 1858-1917; Ciências sociais</v>
      </c>
      <c r="G255" s="26"/>
      <c r="H255" s="29" t="str">
        <f>IFERROR(__xludf.DUMMYFUNCTION("""COMPUTED_VALUE"""),"https://hdl.handle.net/1884/63931")</f>
        <v>https://hdl.handle.net/1884/63931</v>
      </c>
      <c r="I255" s="24" t="str">
        <f>IFERROR(__xludf.DUMMYFUNCTION("""COMPUTED_VALUE"""),"Ciências Humanas")</f>
        <v>Ciências Humanas</v>
      </c>
    </row>
    <row r="256">
      <c r="A256" s="24" t="str">
        <f>IFERROR(__xludf.DUMMYFUNCTION("""COMPUTED_VALUE"""),"De bolsista a cientista: a experiência da UFSC com o Programa de Iniciação Científica no processo de formação de pesquisadores (1990 a 2012)")</f>
        <v>De bolsista a cientista: a experiência da UFSC com o Programa de Iniciação Científica no processo de formação de pesquisadores (1990 a 2012)</v>
      </c>
      <c r="B256" s="24" t="str">
        <f>IFERROR(__xludf.DUMMYFUNCTION("""COMPUTED_VALUE"""),"Costa, Airton; Pinto, Adilson Luiz")</f>
        <v>Costa, Airton; Pinto, Adilson Luiz</v>
      </c>
      <c r="C256" s="24" t="str">
        <f>IFERROR(__xludf.DUMMYFUNCTION("""COMPUTED_VALUE"""),"Florianópolis")</f>
        <v>Florianópolis</v>
      </c>
      <c r="D256" s="24" t="str">
        <f>IFERROR(__xludf.DUMMYFUNCTION("""COMPUTED_VALUE"""),"Editora da UFSC")</f>
        <v>Editora da UFSC</v>
      </c>
      <c r="E256" s="25">
        <f>IFERROR(__xludf.DUMMYFUNCTION("""COMPUTED_VALUE"""),2016.0)</f>
        <v>2016</v>
      </c>
      <c r="F256" s="24" t="str">
        <f>IFERROR(__xludf.DUMMYFUNCTION("""COMPUTED_VALUE"""),"Ciência da Informação;Pesquisadores;Orientação profissional;Universidade Federal de Santa Catarina")</f>
        <v>Ciência da Informação;Pesquisadores;Orientação profissional;Universidade Federal de Santa Catarina</v>
      </c>
      <c r="G256" s="28" t="str">
        <f>IFERROR(__xludf.DUMMYFUNCTION("""COMPUTED_VALUE"""),"9788532807717")</f>
        <v>9788532807717</v>
      </c>
      <c r="H256" s="29" t="str">
        <f>IFERROR(__xludf.DUMMYFUNCTION("""COMPUTED_VALUE"""),"https://repositorio.ufsc.br/handle/123456789/187611")</f>
        <v>https://repositorio.ufsc.br/handle/123456789/187611</v>
      </c>
      <c r="I256" s="24" t="str">
        <f>IFERROR(__xludf.DUMMYFUNCTION("""COMPUTED_VALUE"""),"Ciências Humanas")</f>
        <v>Ciências Humanas</v>
      </c>
    </row>
    <row r="257">
      <c r="A257" s="24" t="str">
        <f>IFERROR(__xludf.DUMMYFUNCTION("""COMPUTED_VALUE"""),"De Brizola a Cabral. De Collor a Dilma: a geografia do voto no Rio de Janeiro de 1982 a 2010")</f>
        <v>De Brizola a Cabral. De Collor a Dilma: a geografia do voto no Rio de Janeiro de 1982 a 2010</v>
      </c>
      <c r="B257" s="24" t="str">
        <f>IFERROR(__xludf.DUMMYFUNCTION("""COMPUTED_VALUE"""),"Antonio C. Alkmim")</f>
        <v>Antonio C. Alkmim</v>
      </c>
      <c r="C257" s="24" t="str">
        <f>IFERROR(__xludf.DUMMYFUNCTION("""COMPUTED_VALUE"""),"Rio de Janeiro")</f>
        <v>Rio de Janeiro</v>
      </c>
      <c r="D257" s="24" t="str">
        <f>IFERROR(__xludf.DUMMYFUNCTION("""COMPUTED_VALUE"""),"Editora PUC Rio")</f>
        <v>Editora PUC Rio</v>
      </c>
      <c r="E257" s="25">
        <f>IFERROR(__xludf.DUMMYFUNCTION("""COMPUTED_VALUE"""),2014.0)</f>
        <v>2014</v>
      </c>
      <c r="F257" s="24" t="str">
        <f>IFERROR(__xludf.DUMMYFUNCTION("""COMPUTED_VALUE"""),"Eleições – Rio de Janeiro (Estado) – História – 1982-2010. Voto - Rio de Janeiro (Estado) – História - 1982-2010")</f>
        <v>Eleições – Rio de Janeiro (Estado) – História – 1982-2010. Voto - Rio de Janeiro (Estado) – História - 1982-2010</v>
      </c>
      <c r="G257" s="28" t="str">
        <f>IFERROR(__xludf.DUMMYFUNCTION("""COMPUTED_VALUE"""),"9788580061406")</f>
        <v>9788580061406</v>
      </c>
      <c r="H257" s="29" t="str">
        <f>IFERROR(__xludf.DUMMYFUNCTION("""COMPUTED_VALUE"""),"http://www.editora.puc-rio.br/media/ebook_brizola_cabral_collor_dilma.pdf")</f>
        <v>http://www.editora.puc-rio.br/media/ebook_brizola_cabral_collor_dilma.pdf</v>
      </c>
      <c r="I257" s="24" t="str">
        <f>IFERROR(__xludf.DUMMYFUNCTION("""COMPUTED_VALUE"""),"Ciências Humanas")</f>
        <v>Ciências Humanas</v>
      </c>
    </row>
    <row r="258">
      <c r="A258" s="24" t="str">
        <f>IFERROR(__xludf.DUMMYFUNCTION("""COMPUTED_VALUE"""),"De corpo inteiro: corpo, cultura e educação no tempo presente	")</f>
        <v>De corpo inteiro: corpo, cultura e educação no tempo presente	</v>
      </c>
      <c r="B258" s="24" t="str">
        <f>IFERROR(__xludf.DUMMYFUNCTION("""COMPUTED_VALUE"""),"Maria Cecília de Paula Silva (org.)")</f>
        <v>Maria Cecília de Paula Silva (org.)</v>
      </c>
      <c r="C258" s="24" t="str">
        <f>IFERROR(__xludf.DUMMYFUNCTION("""COMPUTED_VALUE"""),"Salvador")</f>
        <v>Salvador</v>
      </c>
      <c r="D258" s="24" t="str">
        <f>IFERROR(__xludf.DUMMYFUNCTION("""COMPUTED_VALUE"""),"EDUFBA")</f>
        <v>EDUFBA</v>
      </c>
      <c r="E258" s="25">
        <f>IFERROR(__xludf.DUMMYFUNCTION("""COMPUTED_VALUE"""),2020.0)</f>
        <v>2020</v>
      </c>
      <c r="F258" s="24" t="str">
        <f>IFERROR(__xludf.DUMMYFUNCTION("""COMPUTED_VALUE"""),"Educação; Aspectos sociais; Corpo humano")</f>
        <v>Educação; Aspectos sociais; Corpo humano</v>
      </c>
      <c r="G258" s="28" t="str">
        <f>IFERROR(__xludf.DUMMYFUNCTION("""COMPUTED_VALUE"""),"9788523219956")</f>
        <v>9788523219956</v>
      </c>
      <c r="H258" s="29" t="str">
        <f>IFERROR(__xludf.DUMMYFUNCTION("""COMPUTED_VALUE"""),"http://repositorio.ufba.br/ri/handle/ri/31830")</f>
        <v>http://repositorio.ufba.br/ri/handle/ri/31830</v>
      </c>
      <c r="I258" s="24" t="str">
        <f>IFERROR(__xludf.DUMMYFUNCTION("""COMPUTED_VALUE"""),"Ciências Humanas")</f>
        <v>Ciências Humanas</v>
      </c>
    </row>
    <row r="259">
      <c r="A259" s="24" t="str">
        <f>IFERROR(__xludf.DUMMYFUNCTION("""COMPUTED_VALUE"""),"DE CUNHÃ A MAMELUCA: A MULHER TUPINAMBÁ E O NASCIMENTO DO BRASIL João Azevedo Fernandes")</f>
        <v>DE CUNHÃ A MAMELUCA: A MULHER TUPINAMBÁ E O NASCIMENTO DO BRASIL João Azevedo Fernandes</v>
      </c>
      <c r="B259" s="24" t="str">
        <f>IFERROR(__xludf.DUMMYFUNCTION("""COMPUTED_VALUE"""),"Jão Azevedo Fernandes.")</f>
        <v>Jão Azevedo Fernandes.</v>
      </c>
      <c r="C259" s="24" t="str">
        <f>IFERROR(__xludf.DUMMYFUNCTION("""COMPUTED_VALUE"""),"João Pessoa")</f>
        <v>João Pessoa</v>
      </c>
      <c r="D259" s="24" t="str">
        <f>IFERROR(__xludf.DUMMYFUNCTION("""COMPUTED_VALUE"""),"Editora da UFPB")</f>
        <v>Editora da UFPB</v>
      </c>
      <c r="E259" s="25">
        <f>IFERROR(__xludf.DUMMYFUNCTION("""COMPUTED_VALUE"""),2017.0)</f>
        <v>2017</v>
      </c>
      <c r="F259" s="24" t="str">
        <f>IFERROR(__xludf.DUMMYFUNCTION("""COMPUTED_VALUE"""),"Etnologia; Antropologia cultural; Mulheres tupinambá - hierarquias femininas")</f>
        <v>Etnologia; Antropologia cultural; Mulheres tupinambá - hierarquias femininas</v>
      </c>
      <c r="G259" s="28" t="str">
        <f>IFERROR(__xludf.DUMMYFUNCTION("""COMPUTED_VALUE"""),"978852371304")</f>
        <v>978852371304</v>
      </c>
      <c r="H259" s="29" t="str">
        <f>IFERROR(__xludf.DUMMYFUNCTION("""COMPUTED_VALUE"""),"http://www.editora.ufpb.br/sistema/press5/index.php/UFPB/catalog/book/106")</f>
        <v>http://www.editora.ufpb.br/sistema/press5/index.php/UFPB/catalog/book/106</v>
      </c>
      <c r="I259" s="24" t="str">
        <f>IFERROR(__xludf.DUMMYFUNCTION("""COMPUTED_VALUE"""),"Ciências Humanas")</f>
        <v>Ciências Humanas</v>
      </c>
    </row>
    <row r="260">
      <c r="A260" s="24" t="str">
        <f>IFERROR(__xludf.DUMMYFUNCTION("""COMPUTED_VALUE"""),"De Tabocas a Itabuna: um estudo histórico-geográfico ")</f>
        <v>De Tabocas a Itabuna: um estudo histórico-geográfico </v>
      </c>
      <c r="B260" s="24" t="str">
        <f>IFERROR(__xludf.DUMMYFUNCTION("""COMPUTED_VALUE"""),"concepção e organização Maria Palma Andrade, Lurdes Bertol Rocha; colaboração Agenor Gasparetto ... (et al.).")</f>
        <v>concepção e organização Maria Palma Andrade, Lurdes Bertol Rocha; colaboração Agenor Gasparetto ... (et al.).</v>
      </c>
      <c r="C260" s="24" t="str">
        <f>IFERROR(__xludf.DUMMYFUNCTION("""COMPUTED_VALUE"""),"Ilhéus, BA")</f>
        <v>Ilhéus, BA</v>
      </c>
      <c r="D260" s="24" t="str">
        <f>IFERROR(__xludf.DUMMYFUNCTION("""COMPUTED_VALUE"""),"Editus")</f>
        <v>Editus</v>
      </c>
      <c r="E260" s="25">
        <f>IFERROR(__xludf.DUMMYFUNCTION("""COMPUTED_VALUE"""),2005.0)</f>
        <v>2005</v>
      </c>
      <c r="F260" s="24" t="str">
        <f>IFERROR(__xludf.DUMMYFUNCTION("""COMPUTED_VALUE"""),"Itabuna (BA) – História; Itabuna (BA) - Descrições; Itabuna (BA) – Geografia; Itabuna (BA) – Usos e costumes")</f>
        <v>Itabuna (BA) – História; Itabuna (BA) - Descrições; Itabuna (BA) – Geografia; Itabuna (BA) – Usos e costumes</v>
      </c>
      <c r="G260" s="28" t="str">
        <f>IFERROR(__xludf.DUMMYFUNCTION("""COMPUTED_VALUE"""),"8574550949")</f>
        <v>8574550949</v>
      </c>
      <c r="H260" s="29" t="str">
        <f>IFERROR(__xludf.DUMMYFUNCTION("""COMPUTED_VALUE"""),"http://www.uesc.br/editora/livrosdigitais2015/de_tabocas_itabuna.pdf")</f>
        <v>http://www.uesc.br/editora/livrosdigitais2015/de_tabocas_itabuna.pdf</v>
      </c>
      <c r="I260" s="24" t="str">
        <f>IFERROR(__xludf.DUMMYFUNCTION("""COMPUTED_VALUE"""),"Ciências Humanas")</f>
        <v>Ciências Humanas</v>
      </c>
    </row>
    <row r="261">
      <c r="A261" s="24" t="str">
        <f>IFERROR(__xludf.DUMMYFUNCTION("""COMPUTED_VALUE"""),"Declaração Universal dos Direitos Humanos")</f>
        <v>Declaração Universal dos Direitos Humanos</v>
      </c>
      <c r="B261" s="24"/>
      <c r="C261" s="24" t="str">
        <f>IFERROR(__xludf.DUMMYFUNCTION("""COMPUTED_VALUE"""),"Piracicaba, SP")</f>
        <v>Piracicaba, SP</v>
      </c>
      <c r="D261" s="24" t="str">
        <f>IFERROR(__xludf.DUMMYFUNCTION("""COMPUTED_VALUE"""),"UNIMEP")</f>
        <v>UNIMEP</v>
      </c>
      <c r="E261" s="25">
        <f>IFERROR(__xludf.DUMMYFUNCTION("""COMPUTED_VALUE"""),2013.0)</f>
        <v>2013</v>
      </c>
      <c r="F261" s="24" t="str">
        <f>IFERROR(__xludf.DUMMYFUNCTION("""COMPUTED_VALUE"""),"Diretos humanos. Declaração Universal dos Direitos Humanos")</f>
        <v>Diretos humanos. Declaração Universal dos Direitos Humanos</v>
      </c>
      <c r="G261" s="26"/>
      <c r="H261" s="29" t="str">
        <f>IFERROR(__xludf.DUMMYFUNCTION("""COMPUTED_VALUE"""),"http://editora.metodista.br/livros-gratis/declaracao%20universal%20direitos%20humanos%204ed.pdf/at_download/file")</f>
        <v>http://editora.metodista.br/livros-gratis/declaracao%20universal%20direitos%20humanos%204ed.pdf/at_download/file</v>
      </c>
      <c r="I261" s="24" t="str">
        <f>IFERROR(__xludf.DUMMYFUNCTION("""COMPUTED_VALUE"""),"Ciências Humanas")</f>
        <v>Ciências Humanas</v>
      </c>
    </row>
    <row r="262">
      <c r="A262" s="24" t="str">
        <f>IFERROR(__xludf.DUMMYFUNCTION("""COMPUTED_VALUE"""),"Deliberação Online no Brasil entre iniciativas de democracia digital e redes sociais de conversação")</f>
        <v>Deliberação Online no Brasil entre iniciativas de democracia digital e redes sociais de conversação</v>
      </c>
      <c r="B262" s="24" t="str">
        <f>IFERROR(__xludf.DUMMYFUNCTION("""COMPUTED_VALUE"""),"Ricardo Fabrino Mendonça, Rafael Cardoso Sampaio, Samuel Andreson Rocha Barros, organizadores")</f>
        <v>Ricardo Fabrino Mendonça, Rafael Cardoso Sampaio, Samuel Andreson Rocha Barros, organizadores</v>
      </c>
      <c r="C262" s="24" t="str">
        <f>IFERROR(__xludf.DUMMYFUNCTION("""COMPUTED_VALUE"""),"Salvador")</f>
        <v>Salvador</v>
      </c>
      <c r="D262" s="24" t="str">
        <f>IFERROR(__xludf.DUMMYFUNCTION("""COMPUTED_VALUE"""),"EDUFBA")</f>
        <v>EDUFBA</v>
      </c>
      <c r="E262" s="25">
        <f>IFERROR(__xludf.DUMMYFUNCTION("""COMPUTED_VALUE"""),2016.0)</f>
        <v>2016</v>
      </c>
      <c r="F262" s="24" t="str">
        <f>IFERROR(__xludf.DUMMYFUNCTION("""COMPUTED_VALUE"""),"Internet; Comunicações digitais; Redes sociais; Democracia deliberativa; Opinião pública")</f>
        <v>Internet; Comunicações digitais; Redes sociais; Democracia deliberativa; Opinião pública</v>
      </c>
      <c r="G262" s="28" t="str">
        <f>IFERROR(__xludf.DUMMYFUNCTION("""COMPUTED_VALUE"""),"9788523214821")</f>
        <v>9788523214821</v>
      </c>
      <c r="H262" s="29" t="str">
        <f>IFERROR(__xludf.DUMMYFUNCTION("""COMPUTED_VALUE"""),"http://repositorio.ufba.br/ri/handle/ri/19267")</f>
        <v>http://repositorio.ufba.br/ri/handle/ri/19267</v>
      </c>
      <c r="I262" s="24" t="str">
        <f>IFERROR(__xludf.DUMMYFUNCTION("""COMPUTED_VALUE"""),"Ciências Humanas")</f>
        <v>Ciências Humanas</v>
      </c>
    </row>
    <row r="263">
      <c r="A263" s="24" t="str">
        <f>IFERROR(__xludf.DUMMYFUNCTION("""COMPUTED_VALUE"""),"Des-territorialização e identidade: a rede “gaúcha” no Nordeste")</f>
        <v>Des-territorialização e identidade: a rede “gaúcha” no Nordeste</v>
      </c>
      <c r="B263" s="24" t="str">
        <f>IFERROR(__xludf.DUMMYFUNCTION("""COMPUTED_VALUE"""),"Rogério Haesbaert")</f>
        <v>Rogério Haesbaert</v>
      </c>
      <c r="C263" s="24" t="str">
        <f>IFERROR(__xludf.DUMMYFUNCTION("""COMPUTED_VALUE"""),"Niterói, RJ")</f>
        <v>Niterói, RJ</v>
      </c>
      <c r="D263" s="24" t="str">
        <f>IFERROR(__xludf.DUMMYFUNCTION("""COMPUTED_VALUE"""),"EdUFF")</f>
        <v>EdUFF</v>
      </c>
      <c r="E263" s="25">
        <f>IFERROR(__xludf.DUMMYFUNCTION("""COMPUTED_VALUE"""),1997.0)</f>
        <v>1997</v>
      </c>
      <c r="F263" s="24" t="str">
        <f>IFERROR(__xludf.DUMMYFUNCTION("""COMPUTED_VALUE"""),"Gauchismo; Regionalismo")</f>
        <v>Gauchismo; Regionalismo</v>
      </c>
      <c r="G263" s="28" t="str">
        <f>IFERROR(__xludf.DUMMYFUNCTION("""COMPUTED_VALUE"""),"852280222X")</f>
        <v>852280222X</v>
      </c>
      <c r="H263" s="29" t="str">
        <f>IFERROR(__xludf.DUMMYFUNCTION("""COMPUTED_VALUE"""),"http://www.eduff.uff.br/ebooks/Des-territorializacao-e-identidade.pdf")</f>
        <v>http://www.eduff.uff.br/ebooks/Des-territorializacao-e-identidade.pdf</v>
      </c>
      <c r="I263" s="24" t="str">
        <f>IFERROR(__xludf.DUMMYFUNCTION("""COMPUTED_VALUE"""),"Ciências Humanas")</f>
        <v>Ciências Humanas</v>
      </c>
    </row>
    <row r="264">
      <c r="A264" s="24" t="str">
        <f>IFERROR(__xludf.DUMMYFUNCTION("""COMPUTED_VALUE"""),"Desafios da Cartografia Escolar no Ensino de Geografia")</f>
        <v>Desafios da Cartografia Escolar no Ensino de Geografia</v>
      </c>
      <c r="B264" s="24" t="str">
        <f>IFERROR(__xludf.DUMMYFUNCTION("""COMPUTED_VALUE"""),"Priscylla Karoline de Menezes; Bruno Magnum Pereira; Ana Paula Saragossa Corrêa (org.)")</f>
        <v>Priscylla Karoline de Menezes; Bruno Magnum Pereira; Ana Paula Saragossa Corrêa (org.)</v>
      </c>
      <c r="C264" s="24" t="str">
        <f>IFERROR(__xludf.DUMMYFUNCTION("""COMPUTED_VALUE"""),"Anápolis")</f>
        <v>Anápolis</v>
      </c>
      <c r="D264" s="24" t="str">
        <f>IFERROR(__xludf.DUMMYFUNCTION("""COMPUTED_VALUE"""),"UEG")</f>
        <v>UEG</v>
      </c>
      <c r="E264" s="25">
        <f>IFERROR(__xludf.DUMMYFUNCTION("""COMPUTED_VALUE"""),2019.0)</f>
        <v>2019</v>
      </c>
      <c r="F264" s="24" t="str">
        <f>IFERROR(__xludf.DUMMYFUNCTION("""COMPUTED_VALUE"""),"Ensino de geografia; Fomação de professores - geografia; Geografia – ensino fundamenta")</f>
        <v>Ensino de geografia; Fomação de professores - geografia; Geografia – ensino fundamenta</v>
      </c>
      <c r="G264" s="28" t="str">
        <f>IFERROR(__xludf.DUMMYFUNCTION("""COMPUTED_VALUE"""),"9788555820755")</f>
        <v>9788555820755</v>
      </c>
      <c r="H264" s="29" t="str">
        <f>IFERROR(__xludf.DUMMYFUNCTION("""COMPUTED_VALUE"""),"http://cdn.ueg.edu.br/source/editora_ueg/conteudo_extensao/11295/ebook_desafios_da_cartografia_escolar_2019.pdf")</f>
        <v>http://cdn.ueg.edu.br/source/editora_ueg/conteudo_extensao/11295/ebook_desafios_da_cartografia_escolar_2019.pdf</v>
      </c>
      <c r="I264" s="24" t="str">
        <f>IFERROR(__xludf.DUMMYFUNCTION("""COMPUTED_VALUE"""),"Ciências Humanas")</f>
        <v>Ciências Humanas</v>
      </c>
    </row>
    <row r="265">
      <c r="A265" s="24" t="str">
        <f>IFERROR(__xludf.DUMMYFUNCTION("""COMPUTED_VALUE"""),"Desafios de ensinar, aprender e avaliar em tempos de pandemia")</f>
        <v>Desafios de ensinar, aprender e avaliar em tempos de pandemia</v>
      </c>
      <c r="B265" s="24" t="str">
        <f>IFERROR(__xludf.DUMMYFUNCTION("""COMPUTED_VALUE"""),"Carolina Giordano Bergmann, Daniel Fernando Anderle, Denise Danielle Pagno, Marilane Maria Wolff Paim, Sara Nunes, Vanderlei Freitas Junior")</f>
        <v>Carolina Giordano Bergmann, Daniel Fernando Anderle, Denise Danielle Pagno, Marilane Maria Wolff Paim, Sara Nunes, Vanderlei Freitas Junior</v>
      </c>
      <c r="C265" s="24" t="str">
        <f>IFERROR(__xludf.DUMMYFUNCTION("""COMPUTED_VALUE"""),"Blumenau")</f>
        <v>Blumenau</v>
      </c>
      <c r="D265" s="24" t="str">
        <f>IFERROR(__xludf.DUMMYFUNCTION("""COMPUTED_VALUE"""),"Instituto Federal Catarinense")</f>
        <v>Instituto Federal Catarinense</v>
      </c>
      <c r="E265" s="25">
        <f>IFERROR(__xludf.DUMMYFUNCTION("""COMPUTED_VALUE"""),2020.0)</f>
        <v>2020</v>
      </c>
      <c r="F265" s="24" t="str">
        <f>IFERROR(__xludf.DUMMYFUNCTION("""COMPUTED_VALUE"""),"Ensino à distância. Tecnologia educacional")</f>
        <v>Ensino à distância. Tecnologia educacional</v>
      </c>
      <c r="G265" s="28" t="str">
        <f>IFERROR(__xludf.DUMMYFUNCTION("""COMPUTED_VALUE"""),"9786588089019")</f>
        <v>9786588089019</v>
      </c>
      <c r="H265" s="29" t="str">
        <f>IFERROR(__xludf.DUMMYFUNCTION("""COMPUTED_VALUE"""),"https://editora.ifc.edu.br/2020/07/16/desafios-de-ensinar-aprender-e-avaliar-em-tempos-de-pandemia/")</f>
        <v>https://editora.ifc.edu.br/2020/07/16/desafios-de-ensinar-aprender-e-avaliar-em-tempos-de-pandemia/</v>
      </c>
      <c r="I265" s="24" t="str">
        <f>IFERROR(__xludf.DUMMYFUNCTION("""COMPUTED_VALUE"""),"Ciências Humanas")</f>
        <v>Ciências Humanas</v>
      </c>
    </row>
    <row r="266">
      <c r="A266" s="24" t="str">
        <f>IFERROR(__xludf.DUMMYFUNCTION("""COMPUTED_VALUE"""),"Desafios e Perspectivas na Profissionalização Docente Pibid/Uepb Volume 1")</f>
        <v>Desafios e Perspectivas na Profissionalização Docente Pibid/Uepb Volume 1</v>
      </c>
      <c r="B266" s="24" t="str">
        <f>IFERROR(__xludf.DUMMYFUNCTION("""COMPUTED_VALUE"""),"Paula Almeida de Castro (org.)")</f>
        <v>Paula Almeida de Castro (org.)</v>
      </c>
      <c r="C266" s="24" t="str">
        <f>IFERROR(__xludf.DUMMYFUNCTION("""COMPUTED_VALUE"""),"Campina Grande")</f>
        <v>Campina Grande</v>
      </c>
      <c r="D266" s="24" t="str">
        <f>IFERROR(__xludf.DUMMYFUNCTION("""COMPUTED_VALUE"""),"EDUEPB")</f>
        <v>EDUEPB</v>
      </c>
      <c r="E266" s="25">
        <f>IFERROR(__xludf.DUMMYFUNCTION("""COMPUTED_VALUE"""),2013.0)</f>
        <v>2013</v>
      </c>
      <c r="F266" s="24" t="str">
        <f>IFERROR(__xludf.DUMMYFUNCTION("""COMPUTED_VALUE"""),"Pibid/UEPB. Formação do professor. Docência-universidade-escola. Professores de física")</f>
        <v>Pibid/UEPB. Formação do professor. Docência-universidade-escola. Professores de física</v>
      </c>
      <c r="G266" s="28" t="str">
        <f>IFERROR(__xludf.DUMMYFUNCTION("""COMPUTED_VALUE"""),"9788578791674")</f>
        <v>9788578791674</v>
      </c>
      <c r="H266" s="29" t="str">
        <f>IFERROR(__xludf.DUMMYFUNCTION("""COMPUTED_VALUE"""),"http://eduepb.uepb.edu.br/download/desafios-e-perspectivas-na-profissionalizacao-docente-pibid-uepb-volume-1/?wpdmdl=228&amp;amp;masterkey=5af9a4118eef7")</f>
        <v>http://eduepb.uepb.edu.br/download/desafios-e-perspectivas-na-profissionalizacao-docente-pibid-uepb-volume-1/?wpdmdl=228&amp;amp;masterkey=5af9a4118eef7</v>
      </c>
      <c r="I266" s="24" t="str">
        <f>IFERROR(__xludf.DUMMYFUNCTION("""COMPUTED_VALUE"""),"Ciências Humanas")</f>
        <v>Ciências Humanas</v>
      </c>
    </row>
    <row r="267">
      <c r="A267" s="24" t="str">
        <f>IFERROR(__xludf.DUMMYFUNCTION("""COMPUTED_VALUE"""),"Desafios e Perspectivas na Profissionalização Docente Pibid/Uepb Volume 2")</f>
        <v>Desafios e Perspectivas na Profissionalização Docente Pibid/Uepb Volume 2</v>
      </c>
      <c r="B267" s="24" t="str">
        <f>IFERROR(__xludf.DUMMYFUNCTION("""COMPUTED_VALUE"""),"Paula Almeida de Castro (org.)")</f>
        <v>Paula Almeida de Castro (org.)</v>
      </c>
      <c r="C267" s="24" t="str">
        <f>IFERROR(__xludf.DUMMYFUNCTION("""COMPUTED_VALUE"""),"Campina Grande")</f>
        <v>Campina Grande</v>
      </c>
      <c r="D267" s="24" t="str">
        <f>IFERROR(__xludf.DUMMYFUNCTION("""COMPUTED_VALUE"""),"EDUEPB")</f>
        <v>EDUEPB</v>
      </c>
      <c r="E267" s="25">
        <f>IFERROR(__xludf.DUMMYFUNCTION("""COMPUTED_VALUE"""),2013.0)</f>
        <v>2013</v>
      </c>
      <c r="F267" s="24" t="str">
        <f>IFERROR(__xludf.DUMMYFUNCTION("""COMPUTED_VALUE"""),"Pibid/UEPB. Formação do professor. Docência-universidade-escola. Professores de física")</f>
        <v>Pibid/UEPB. Formação do professor. Docência-universidade-escola. Professores de física</v>
      </c>
      <c r="G267" s="28" t="str">
        <f>IFERROR(__xludf.DUMMYFUNCTION("""COMPUTED_VALUE"""),"9788578791681")</f>
        <v>9788578791681</v>
      </c>
      <c r="H267" s="29" t="str">
        <f>IFERROR(__xludf.DUMMYFUNCTION("""COMPUTED_VALUE"""),"http://eduepb.uepb.edu.br/download/desafios-e-perspectivas-na-profissionalizacao-docente-pibid-uepb-volume-2/?wpdmdl=229&amp;amp;masterkey=5af9a4313475e")</f>
        <v>http://eduepb.uepb.edu.br/download/desafios-e-perspectivas-na-profissionalizacao-docente-pibid-uepb-volume-2/?wpdmdl=229&amp;amp;masterkey=5af9a4313475e</v>
      </c>
      <c r="I267" s="24" t="str">
        <f>IFERROR(__xludf.DUMMYFUNCTION("""COMPUTED_VALUE"""),"Ciências Humanas")</f>
        <v>Ciências Humanas</v>
      </c>
    </row>
    <row r="268">
      <c r="A268" s="24" t="str">
        <f>IFERROR(__xludf.DUMMYFUNCTION("""COMPUTED_VALUE"""),"Desafios e Perspectivas na Profissionalização Docente Pibid/Uepb Volume 3")</f>
        <v>Desafios e Perspectivas na Profissionalização Docente Pibid/Uepb Volume 3</v>
      </c>
      <c r="B268" s="24" t="str">
        <f>IFERROR(__xludf.DUMMYFUNCTION("""COMPUTED_VALUE"""),"Paula Almeida de Castro (org.)")</f>
        <v>Paula Almeida de Castro (org.)</v>
      </c>
      <c r="C268" s="24" t="str">
        <f>IFERROR(__xludf.DUMMYFUNCTION("""COMPUTED_VALUE"""),"Campina Grande")</f>
        <v>Campina Grande</v>
      </c>
      <c r="D268" s="24" t="str">
        <f>IFERROR(__xludf.DUMMYFUNCTION("""COMPUTED_VALUE"""),"EDUEPB")</f>
        <v>EDUEPB</v>
      </c>
      <c r="E268" s="25">
        <f>IFERROR(__xludf.DUMMYFUNCTION("""COMPUTED_VALUE"""),2013.0)</f>
        <v>2013</v>
      </c>
      <c r="F268" s="24" t="str">
        <f>IFERROR(__xludf.DUMMYFUNCTION("""COMPUTED_VALUE"""),"Pibid/UEPB. Formação do professor. Docência-universidade-escola. Professores de física")</f>
        <v>Pibid/UEPB. Formação do professor. Docência-universidade-escola. Professores de física</v>
      </c>
      <c r="G268" s="28" t="str">
        <f>IFERROR(__xludf.DUMMYFUNCTION("""COMPUTED_VALUE"""),"9788578791698")</f>
        <v>9788578791698</v>
      </c>
      <c r="H268" s="29" t="str">
        <f>IFERROR(__xludf.DUMMYFUNCTION("""COMPUTED_VALUE"""),"http://eduepb.uepb.edu.br/download/desafios-e-perspectivas-na-profissionalizacao-docente-pibid-uepb-volume-3/?wpdmdl=230&amp;amp;masterkey=5af9a48569feb")</f>
        <v>http://eduepb.uepb.edu.br/download/desafios-e-perspectivas-na-profissionalizacao-docente-pibid-uepb-volume-3/?wpdmdl=230&amp;amp;masterkey=5af9a48569feb</v>
      </c>
      <c r="I268" s="24" t="str">
        <f>IFERROR(__xludf.DUMMYFUNCTION("""COMPUTED_VALUE"""),"Ciências Humanas")</f>
        <v>Ciências Humanas</v>
      </c>
    </row>
    <row r="269">
      <c r="A269" s="24" t="str">
        <f>IFERROR(__xludf.DUMMYFUNCTION("""COMPUTED_VALUE"""),"Desafios políticos e epistemológicos da formação continuada: reflexões epistêmico-pedagógicas*")</f>
        <v>Desafios políticos e epistemológicos da formação continuada: reflexões epistêmico-pedagógicas*</v>
      </c>
      <c r="B269" s="24" t="str">
        <f>IFERROR(__xludf.DUMMYFUNCTION("""COMPUTED_VALUE"""),"Ricardo Rezer; Luci Teresinha Marchiori dos Santos Bernardi; Tania Mara Zancanaro Pieczkowski; Leonel Piovezana; Ireno Antônio Berticelli; Nadir Castilho Delizoicov; Odilon Luiz Poli; Edivaldo José Bortoleto; Ivo Dickmann; Bruna Larissa Cecco; Daniela Dal"&amp;"-Cin")</f>
        <v>Ricardo Rezer; Luci Teresinha Marchiori dos Santos Bernardi; Tania Mara Zancanaro Pieczkowski; Leonel Piovezana; Ireno Antônio Berticelli; Nadir Castilho Delizoicov; Odilon Luiz Poli; Edivaldo José Bortoleto; Ivo Dickmann; Bruna Larissa Cecco; Daniela Dal-Cin</v>
      </c>
      <c r="C269" s="24" t="str">
        <f>IFERROR(__xludf.DUMMYFUNCTION("""COMPUTED_VALUE"""),"Chapecó")</f>
        <v>Chapecó</v>
      </c>
      <c r="D269" s="24" t="str">
        <f>IFERROR(__xludf.DUMMYFUNCTION("""COMPUTED_VALUE"""),"Argos")</f>
        <v>Argos</v>
      </c>
      <c r="E269" s="25">
        <f>IFERROR(__xludf.DUMMYFUNCTION("""COMPUTED_VALUE"""),2018.0)</f>
        <v>2018</v>
      </c>
      <c r="F269" s="24" t="str">
        <f>IFERROR(__xludf.DUMMYFUNCTION("""COMPUTED_VALUE"""),"Professores – Formação. Formação continuada de professores; Educação básica")</f>
        <v>Professores – Formação. Formação continuada de professores; Educação básica</v>
      </c>
      <c r="G269" s="28" t="str">
        <f>IFERROR(__xludf.DUMMYFUNCTION("""COMPUTED_VALUE"""),"9788578972998")</f>
        <v>9788578972998</v>
      </c>
      <c r="H269" s="29" t="str">
        <f>IFERROR(__xludf.DUMMYFUNCTION("""COMPUTED_VALUE"""),"https://www.editoraargos.com.br/farol/editoraargos/ebook/desafios-politicos-e-epistemologicos-da-formacao-continuada-reflexoes-epistemico-pedagogicas/735432/")</f>
        <v>https://www.editoraargos.com.br/farol/editoraargos/ebook/desafios-politicos-e-epistemologicos-da-formacao-continuada-reflexoes-epistemico-pedagogicas/735432/</v>
      </c>
      <c r="I269" s="24" t="str">
        <f>IFERROR(__xludf.DUMMYFUNCTION("""COMPUTED_VALUE"""),"Ciências Humanas")</f>
        <v>Ciências Humanas</v>
      </c>
    </row>
    <row r="270">
      <c r="A270" s="24" t="str">
        <f>IFERROR(__xludf.DUMMYFUNCTION("""COMPUTED_VALUE"""),"Desapropriando o currículo: imagem, prática educacativa e experiência vivida no movimento anarcopunk")</f>
        <v>Desapropriando o currículo: imagem, prática educacativa e experiência vivida no movimento anarcopunk</v>
      </c>
      <c r="B270" s="24" t="str">
        <f>IFERROR(__xludf.DUMMYFUNCTION("""COMPUTED_VALUE"""),"Maurício Remígio Viana ")</f>
        <v>Maurício Remígio Viana </v>
      </c>
      <c r="C270" s="24" t="str">
        <f>IFERROR(__xludf.DUMMYFUNCTION("""COMPUTED_VALUE"""),"Macapá")</f>
        <v>Macapá</v>
      </c>
      <c r="D270" s="24" t="str">
        <f>IFERROR(__xludf.DUMMYFUNCTION("""COMPUTED_VALUE"""),"UNIFAP")</f>
        <v>UNIFAP</v>
      </c>
      <c r="E270" s="25">
        <f>IFERROR(__xludf.DUMMYFUNCTION("""COMPUTED_VALUE"""),2019.0)</f>
        <v>2019</v>
      </c>
      <c r="F270" s="24" t="str">
        <f>IFERROR(__xludf.DUMMYFUNCTION("""COMPUTED_VALUE"""),"Educação; Arte;Imagem; Cotidiano; Movimento Anarcopunk")</f>
        <v>Educação; Arte;Imagem; Cotidiano; Movimento Anarcopunk</v>
      </c>
      <c r="G270" s="28" t="str">
        <f>IFERROR(__xludf.DUMMYFUNCTION("""COMPUTED_VALUE"""),"9788554760700")</f>
        <v>9788554760700</v>
      </c>
      <c r="H270" s="29" t="str">
        <f>IFERROR(__xludf.DUMMYFUNCTION("""COMPUTED_VALUE"""),"https://www2.unifap.br/editora/files/2019/05/desapropriando-o-curriculo.pdf")</f>
        <v>https://www2.unifap.br/editora/files/2019/05/desapropriando-o-curriculo.pdf</v>
      </c>
      <c r="I270" s="24" t="str">
        <f>IFERROR(__xludf.DUMMYFUNCTION("""COMPUTED_VALUE"""),"Ciências Humanas")</f>
        <v>Ciências Humanas</v>
      </c>
    </row>
    <row r="271">
      <c r="A271" s="24" t="str">
        <f>IFERROR(__xludf.DUMMYFUNCTION("""COMPUTED_VALUE"""),"Descolonialidades e Cosmovisões: pesquisas sobre gênero, educação e afrodescendência.")</f>
        <v>Descolonialidades e Cosmovisões: pesquisas sobre gênero, educação e afrodescendência.</v>
      </c>
      <c r="B271" s="24" t="str">
        <f>IFERROR(__xludf.DUMMYFUNCTION("""COMPUTED_VALUE"""),"Francis Musa Boakari, Francilene Brito da Silva, Raimunda Nonata da Silva Machado, Vicelma Maria de Paula Barbosa Sousa, Ariosto Moura da Silva, Ilanna Brenda Mendes Batista, Emanuella Geovana Magalhães de Souza (org.)")</f>
        <v>Francis Musa Boakari, Francilene Brito da Silva, Raimunda Nonata da Silva Machado, Vicelma Maria de Paula Barbosa Sousa, Ariosto Moura da Silva, Ilanna Brenda Mendes Batista, Emanuella Geovana Magalhães de Souza (org.)</v>
      </c>
      <c r="C271" s="24" t="str">
        <f>IFERROR(__xludf.DUMMYFUNCTION("""COMPUTED_VALUE"""),"Teresina")</f>
        <v>Teresina</v>
      </c>
      <c r="D271" s="24" t="str">
        <f>IFERROR(__xludf.DUMMYFUNCTION("""COMPUTED_VALUE"""),"EDUFPI")</f>
        <v>EDUFPI</v>
      </c>
      <c r="E271" s="25">
        <f>IFERROR(__xludf.DUMMYFUNCTION("""COMPUTED_VALUE"""),2018.0)</f>
        <v>2018</v>
      </c>
      <c r="F271" s="24" t="str">
        <f>IFERROR(__xludf.DUMMYFUNCTION("""COMPUTED_VALUE"""),"Educação; Gênero; Afrodescendência")</f>
        <v>Educação; Gênero; Afrodescendência</v>
      </c>
      <c r="G271" s="28" t="str">
        <f>IFERROR(__xludf.DUMMYFUNCTION("""COMPUTED_VALUE"""),"9788550903804")</f>
        <v>9788550903804</v>
      </c>
      <c r="H271" s="29" t="str">
        <f>IFERROR(__xludf.DUMMYFUNCTION("""COMPUTED_VALUE"""),"https://www.ufpi.br/arquivos_download/arquivos/EDUFPI/E-BOOK_2018_18_set_201820180918153950.pdf")</f>
        <v>https://www.ufpi.br/arquivos_download/arquivos/EDUFPI/E-BOOK_2018_18_set_201820180918153950.pdf</v>
      </c>
      <c r="I271" s="24" t="str">
        <f>IFERROR(__xludf.DUMMYFUNCTION("""COMPUTED_VALUE"""),"Ciências Humanas")</f>
        <v>Ciências Humanas</v>
      </c>
    </row>
    <row r="272">
      <c r="A272" s="24" t="str">
        <f>IFERROR(__xludf.DUMMYFUNCTION("""COMPUTED_VALUE"""),"Desconstrução da trajetória de formação de psicólogos: o ENADE sob o olhar de estudantes de duas universidades")</f>
        <v>Desconstrução da trajetória de formação de psicólogos: o ENADE sob o olhar de estudantes de duas universidades</v>
      </c>
      <c r="B272" s="24" t="str">
        <f>IFERROR(__xludf.DUMMYFUNCTION("""COMPUTED_VALUE"""),"Ferrarini, Norma da Luz; Camargo, Denise de; Universidade Federal do Paraná. Setor de Ciências Humanas. Departamento de Psicologia. Coordenação do Curso de Graduação em Psicologia.")</f>
        <v>Ferrarini, Norma da Luz; Camargo, Denise de; Universidade Federal do Paraná. Setor de Ciências Humanas. Departamento de Psicologia. Coordenação do Curso de Graduação em Psicologia.</v>
      </c>
      <c r="C272" s="24" t="str">
        <f>IFERROR(__xludf.DUMMYFUNCTION("""COMPUTED_VALUE"""),"Curitiba")</f>
        <v>Curitiba</v>
      </c>
      <c r="D272" s="24" t="str">
        <f>IFERROR(__xludf.DUMMYFUNCTION("""COMPUTED_VALUE"""),"UFPR")</f>
        <v>UFPR</v>
      </c>
      <c r="E272" s="25">
        <f>IFERROR(__xludf.DUMMYFUNCTION("""COMPUTED_VALUE"""),2017.0)</f>
        <v>2017</v>
      </c>
      <c r="F272" s="24" t="str">
        <f>IFERROR(__xludf.DUMMYFUNCTION("""COMPUTED_VALUE"""),"Psicologia - Estudo e ensino; Psicólogos - Formação profissional; Exame Nacional de Desempenho Acadêmico (ENADE) - Curso de Psicologia")</f>
        <v>Psicologia - Estudo e ensino; Psicólogos - Formação profissional; Exame Nacional de Desempenho Acadêmico (ENADE) - Curso de Psicologia</v>
      </c>
      <c r="G272" s="28" t="str">
        <f>IFERROR(__xludf.DUMMYFUNCTION("""COMPUTED_VALUE"""),"9788599229439; 9788599229422 (ebook)")</f>
        <v>9788599229439; 9788599229422 (ebook)</v>
      </c>
      <c r="H272" s="29" t="str">
        <f>IFERROR(__xludf.DUMMYFUNCTION("""COMPUTED_VALUE"""),"https://hdl.handle.net/1884/47830")</f>
        <v>https://hdl.handle.net/1884/47830</v>
      </c>
      <c r="I272" s="24" t="str">
        <f>IFERROR(__xludf.DUMMYFUNCTION("""COMPUTED_VALUE"""),"Ciências Humanas")</f>
        <v>Ciências Humanas</v>
      </c>
    </row>
    <row r="273">
      <c r="A273" s="24" t="str">
        <f>IFERROR(__xludf.DUMMYFUNCTION("""COMPUTED_VALUE"""),"Desconstruir o invisível: pequeno atlas do Candomblé em Goiás ")</f>
        <v>Desconstruir o invisível: pequeno atlas do Candomblé em Goiás </v>
      </c>
      <c r="B273" s="24" t="str">
        <f>IFERROR(__xludf.DUMMYFUNCTION("""COMPUTED_VALUE"""),"Mary Anne Vieira Silva; Marcos Antônio Cunha Torres; Mário Pires de Moraes Junior; Marcos Antônio Ferreira dos Santos")</f>
        <v>Mary Anne Vieira Silva; Marcos Antônio Cunha Torres; Mário Pires de Moraes Junior; Marcos Antônio Ferreira dos Santos</v>
      </c>
      <c r="C273" s="24" t="str">
        <f>IFERROR(__xludf.DUMMYFUNCTION("""COMPUTED_VALUE"""),"Anápolis")</f>
        <v>Anápolis</v>
      </c>
      <c r="D273" s="24" t="str">
        <f>IFERROR(__xludf.DUMMYFUNCTION("""COMPUTED_VALUE"""),"UEG")</f>
        <v>UEG</v>
      </c>
      <c r="E273" s="25">
        <f>IFERROR(__xludf.DUMMYFUNCTION("""COMPUTED_VALUE"""),2019.0)</f>
        <v>2019</v>
      </c>
      <c r="F273" s="24" t="str">
        <f>IFERROR(__xludf.DUMMYFUNCTION("""COMPUTED_VALUE"""),"Diversidade religiosa – Goiás; Estudos etnicorraciais - Goiás; Manifestações religiosas – Goiás; candomblé – Goiás")</f>
        <v>Diversidade religiosa – Goiás; Estudos etnicorraciais - Goiás; Manifestações religiosas – Goiás; candomblé – Goiás</v>
      </c>
      <c r="G273" s="28" t="str">
        <f>IFERROR(__xludf.DUMMYFUNCTION("""COMPUTED_VALUE"""),"9788555820717")</f>
        <v>9788555820717</v>
      </c>
      <c r="H273" s="29" t="str">
        <f>IFERROR(__xludf.DUMMYFUNCTION("""COMPUTED_VALUE"""),"http://cdn.ueg.edu.br/source/editora_ueg/conteudo_extensao/11296/ebook_2019_desconstruir_o_invisive_baixa_resolucaol.pdf")</f>
        <v>http://cdn.ueg.edu.br/source/editora_ueg/conteudo_extensao/11296/ebook_2019_desconstruir_o_invisive_baixa_resolucaol.pdf</v>
      </c>
      <c r="I273" s="24" t="str">
        <f>IFERROR(__xludf.DUMMYFUNCTION("""COMPUTED_VALUE"""),"Ciências Humanas")</f>
        <v>Ciências Humanas</v>
      </c>
    </row>
    <row r="274">
      <c r="A274" s="24" t="str">
        <f>IFERROR(__xludf.DUMMYFUNCTION("""COMPUTED_VALUE"""),"Desenvolvimento e Civilização: Homenagem a Celso Furtado")</f>
        <v>Desenvolvimento e Civilização: Homenagem a Celso Furtado</v>
      </c>
      <c r="B274" s="24" t="str">
        <f>IFERROR(__xludf.DUMMYFUNCTION("""COMPUTED_VALUE"""),"Theotonio dos Santos")</f>
        <v>Theotonio dos Santos</v>
      </c>
      <c r="C274" s="24" t="str">
        <f>IFERROR(__xludf.DUMMYFUNCTION("""COMPUTED_VALUE"""),"Rio de Janeiro")</f>
        <v>Rio de Janeiro</v>
      </c>
      <c r="D274" s="24" t="str">
        <f>IFERROR(__xludf.DUMMYFUNCTION("""COMPUTED_VALUE"""),"EdUERJ")</f>
        <v>EdUERJ</v>
      </c>
      <c r="E274" s="25">
        <f>IFERROR(__xludf.DUMMYFUNCTION("""COMPUTED_VALUE"""),2016.0)</f>
        <v>2016</v>
      </c>
      <c r="F274" s="24" t="str">
        <f>IFERROR(__xludf.DUMMYFUNCTION("""COMPUTED_VALUE"""),"Desenvolvimento social; Ciência e civilização; Desenvolvimento econômico; Aspectos sociais")</f>
        <v>Desenvolvimento social; Ciência e civilização; Desenvolvimento econômico; Aspectos sociais</v>
      </c>
      <c r="G274" s="28" t="str">
        <f>IFERROR(__xludf.DUMMYFUNCTION("""COMPUTED_VALUE"""),"9788575113844")</f>
        <v>9788575113844</v>
      </c>
      <c r="H274" s="29" t="str">
        <f>IFERROR(__xludf.DUMMYFUNCTION("""COMPUTED_VALUE"""),"https://www.eduerj.com/eng/?product=desenvolvimento-e-civilizacao-homenagem-a-celso-furtado")</f>
        <v>https://www.eduerj.com/eng/?product=desenvolvimento-e-civilizacao-homenagem-a-celso-furtado</v>
      </c>
      <c r="I274" s="24" t="str">
        <f>IFERROR(__xludf.DUMMYFUNCTION("""COMPUTED_VALUE"""),"Ciências Humanas")</f>
        <v>Ciências Humanas</v>
      </c>
    </row>
    <row r="275">
      <c r="A275" s="24" t="str">
        <f>IFERROR(__xludf.DUMMYFUNCTION("""COMPUTED_VALUE"""),"Desigualdade para inconformados : dimensões e enfrentamentos das desigualdades no Brasil")</f>
        <v>Desigualdade para inconformados : dimensões e enfrentamentos das desigualdades no Brasil</v>
      </c>
      <c r="B275" s="24" t="str">
        <f>IFERROR(__xludf.DUMMYFUNCTION("""COMPUTED_VALUE"""),"Costa, Bruno Lazzarotti Diniz ; Silva, Matheus Arcelo Fernandes ")</f>
        <v>Costa, Bruno Lazzarotti Diniz ; Silva, Matheus Arcelo Fernandes </v>
      </c>
      <c r="C275" s="24" t="str">
        <f>IFERROR(__xludf.DUMMYFUNCTION("""COMPUTED_VALUE"""),"Porto Alegre")</f>
        <v>Porto Alegre</v>
      </c>
      <c r="D275" s="24" t="str">
        <f>IFERROR(__xludf.DUMMYFUNCTION("""COMPUTED_VALUE"""),"UFRGS")</f>
        <v>UFRGS</v>
      </c>
      <c r="E275" s="25">
        <f>IFERROR(__xludf.DUMMYFUNCTION("""COMPUTED_VALUE"""),2020.0)</f>
        <v>2020</v>
      </c>
      <c r="F275" s="24" t="str">
        <f>IFERROR(__xludf.DUMMYFUNCTION("""COMPUTED_VALUE"""),"Desigualdade social; Gênero; Racismo; Violência")</f>
        <v>Desigualdade social; Gênero; Racismo; Violência</v>
      </c>
      <c r="G275" s="28" t="str">
        <f>IFERROR(__xludf.DUMMYFUNCTION("""COMPUTED_VALUE"""),"9786557250129")</f>
        <v>9786557250129</v>
      </c>
      <c r="H275" s="29" t="str">
        <f>IFERROR(__xludf.DUMMYFUNCTION("""COMPUTED_VALUE"""),"	http://hdl.handle.net/10183/213590")</f>
        <v>	http://hdl.handle.net/10183/213590</v>
      </c>
      <c r="I275" s="24" t="str">
        <f>IFERROR(__xludf.DUMMYFUNCTION("""COMPUTED_VALUE"""),"Ciências Humanas")</f>
        <v>Ciências Humanas</v>
      </c>
    </row>
    <row r="276">
      <c r="A276" s="24" t="str">
        <f>IFERROR(__xludf.DUMMYFUNCTION("""COMPUTED_VALUE"""),"Desigualdade, violência e relações de poder na História")</f>
        <v>Desigualdade, violência e relações de poder na História</v>
      </c>
      <c r="B276" s="24" t="str">
        <f>IFERROR(__xludf.DUMMYFUNCTION("""COMPUTED_VALUE"""),"Tiago Siqueira Reis; Monalisa Pavonne Oliveira; Carla Monteiro de Souza (org.)")</f>
        <v>Tiago Siqueira Reis; Monalisa Pavonne Oliveira; Carla Monteiro de Souza (org.)</v>
      </c>
      <c r="C276" s="24" t="str">
        <f>IFERROR(__xludf.DUMMYFUNCTION("""COMPUTED_VALUE"""),"Boa Vista ")</f>
        <v>Boa Vista </v>
      </c>
      <c r="D276" s="24" t="str">
        <f>IFERROR(__xludf.DUMMYFUNCTION("""COMPUTED_VALUE"""),"UFRR")</f>
        <v>UFRR</v>
      </c>
      <c r="E276" s="25">
        <f>IFERROR(__xludf.DUMMYFUNCTION("""COMPUTED_VALUE"""),2019.0)</f>
        <v>2019</v>
      </c>
      <c r="F276" s="24" t="str">
        <f>IFERROR(__xludf.DUMMYFUNCTION("""COMPUTED_VALUE"""),"História social; História de Roraima; Indígenas; Migrações; Sociedade e poder")</f>
        <v>História social; História de Roraima; Indígenas; Migrações; Sociedade e poder</v>
      </c>
      <c r="G276" s="28" t="str">
        <f>IFERROR(__xludf.DUMMYFUNCTION("""COMPUTED_VALUE"""),"9788582881897")</f>
        <v>9788582881897</v>
      </c>
      <c r="H276" s="29" t="str">
        <f>IFERROR(__xludf.DUMMYFUNCTION("""COMPUTED_VALUE"""),"http://ufrr.br/editora/index.php/editais?download=409")</f>
        <v>http://ufrr.br/editora/index.php/editais?download=409</v>
      </c>
      <c r="I276" s="24" t="str">
        <f>IFERROR(__xludf.DUMMYFUNCTION("""COMPUTED_VALUE"""),"Ciências Humanas")</f>
        <v>Ciências Humanas</v>
      </c>
    </row>
    <row r="277">
      <c r="A277" s="24" t="str">
        <f>IFERROR(__xludf.DUMMYFUNCTION("""COMPUTED_VALUE"""),"Destaques 2015–2016")</f>
        <v>Destaques 2015–2016</v>
      </c>
      <c r="B277" s="24" t="str">
        <f>IFERROR(__xludf.DUMMYFUNCTION("""COMPUTED_VALUE"""),"Instituto Federal de Educação, Ciência e Tecnologia de Goiás, Pró-Reitoria de Pesquisa e Pós-Graduação. ")</f>
        <v>Instituto Federal de Educação, Ciência e Tecnologia de Goiás, Pró-Reitoria de Pesquisa e Pós-Graduação. </v>
      </c>
      <c r="C277" s="24" t="str">
        <f>IFERROR(__xludf.DUMMYFUNCTION("""COMPUTED_VALUE"""),"Goiânia, GO")</f>
        <v>Goiânia, GO</v>
      </c>
      <c r="D277" s="24" t="str">
        <f>IFERROR(__xludf.DUMMYFUNCTION("""COMPUTED_VALUE"""),"Editora IFG")</f>
        <v>Editora IFG</v>
      </c>
      <c r="E277" s="25">
        <f>IFERROR(__xludf.DUMMYFUNCTION("""COMPUTED_VALUE"""),2017.0)</f>
        <v>2017</v>
      </c>
      <c r="F277" s="24" t="str">
        <f>IFERROR(__xludf.DUMMYFUNCTION("""COMPUTED_VALUE"""),"Iniciação científica e tecnológica; Pesquisa-iniciação científica; Pesquisa- iniciação tecnológica; Formação educacional")</f>
        <v>Iniciação científica e tecnológica; Pesquisa-iniciação científica; Pesquisa- iniciação tecnológica; Formação educacional</v>
      </c>
      <c r="G277" s="28" t="str">
        <f>IFERROR(__xludf.DUMMYFUNCTION("""COMPUTED_VALUE"""),"9788567022239")</f>
        <v>9788567022239</v>
      </c>
      <c r="H277" s="29" t="str">
        <f>IFERROR(__xludf.DUMMYFUNCTION("""COMPUTED_VALUE"""),"https://editora.ifg.edu.br/editoraifg/catalog/view/20/17/57-1")</f>
        <v>https://editora.ifg.edu.br/editoraifg/catalog/view/20/17/57-1</v>
      </c>
      <c r="I277" s="24" t="str">
        <f>IFERROR(__xludf.DUMMYFUNCTION("""COMPUTED_VALUE"""),"Ciências Humanas")</f>
        <v>Ciências Humanas</v>
      </c>
    </row>
    <row r="278">
      <c r="A278" s="24" t="str">
        <f>IFERROR(__xludf.DUMMYFUNCTION("""COMPUTED_VALUE"""),"Destaques 2016–2017")</f>
        <v>Destaques 2016–2017</v>
      </c>
      <c r="B278" s="24" t="str">
        <f>IFERROR(__xludf.DUMMYFUNCTION("""COMPUTED_VALUE"""),"Instituto Federal de Educação, Ciência e Tecnologia de Goiás, Pró-Reitoria de Pesquisa e Pós-Graduação. ")</f>
        <v>Instituto Federal de Educação, Ciência e Tecnologia de Goiás, Pró-Reitoria de Pesquisa e Pós-Graduação. </v>
      </c>
      <c r="C278" s="24" t="str">
        <f>IFERROR(__xludf.DUMMYFUNCTION("""COMPUTED_VALUE"""),"Goiânia, GO")</f>
        <v>Goiânia, GO</v>
      </c>
      <c r="D278" s="24" t="str">
        <f>IFERROR(__xludf.DUMMYFUNCTION("""COMPUTED_VALUE"""),"Editora IFG")</f>
        <v>Editora IFG</v>
      </c>
      <c r="E278" s="25">
        <f>IFERROR(__xludf.DUMMYFUNCTION("""COMPUTED_VALUE"""),2018.0)</f>
        <v>2018</v>
      </c>
      <c r="F278" s="24" t="str">
        <f>IFERROR(__xludf.DUMMYFUNCTION("""COMPUTED_VALUE"""),"Iniciação científica e tecnológica; Pesquisa-iniciação científica; Pesquisa- iniciação tecnológica; Formação educacional")</f>
        <v>Iniciação científica e tecnológica; Pesquisa-iniciação científica; Pesquisa- iniciação tecnológica; Formação educacional</v>
      </c>
      <c r="G278" s="28" t="str">
        <f>IFERROR(__xludf.DUMMYFUNCTION("""COMPUTED_VALUE"""),"9788567022284")</f>
        <v>9788567022284</v>
      </c>
      <c r="H278" s="29" t="str">
        <f>IFERROR(__xludf.DUMMYFUNCTION("""COMPUTED_VALUE"""),"https://editora.ifg.edu.br/editoraifg/catalog/view/38/20/98-1")</f>
        <v>https://editora.ifg.edu.br/editoraifg/catalog/view/38/20/98-1</v>
      </c>
      <c r="I278" s="24" t="str">
        <f>IFERROR(__xludf.DUMMYFUNCTION("""COMPUTED_VALUE"""),"Ciências Humanas")</f>
        <v>Ciências Humanas</v>
      </c>
    </row>
    <row r="279">
      <c r="A279" s="24" t="str">
        <f>IFERROR(__xludf.DUMMYFUNCTION("""COMPUTED_VALUE"""),"Deuses Animais e Xamãs: Ensaios de Mitologia Nórdica (disponível temporariamente)")</f>
        <v>Deuses Animais e Xamãs: Ensaios de Mitologia Nórdica (disponível temporariamente)</v>
      </c>
      <c r="B279" s="24" t="str">
        <f>IFERROR(__xludf.DUMMYFUNCTION("""COMPUTED_VALUE"""),"Johnni Langer, Fabrício Possebon, (organizadores)")</f>
        <v>Johnni Langer, Fabrício Possebon, (organizadores)</v>
      </c>
      <c r="C279" s="24" t="str">
        <f>IFERROR(__xludf.DUMMYFUNCTION("""COMPUTED_VALUE"""),"João Pessoa")</f>
        <v>João Pessoa</v>
      </c>
      <c r="D279" s="24" t="str">
        <f>IFERROR(__xludf.DUMMYFUNCTION("""COMPUTED_VALUE"""),"Editora da UFPB")</f>
        <v>Editora da UFPB</v>
      </c>
      <c r="E279" s="25">
        <f>IFERROR(__xludf.DUMMYFUNCTION("""COMPUTED_VALUE"""),2018.0)</f>
        <v>2018</v>
      </c>
      <c r="F279" s="24" t="str">
        <f>IFERROR(__xludf.DUMMYFUNCTION("""COMPUTED_VALUE"""),"Mitologia nórdica; Mitologia escandinava; Xamanismo; Mito e religião")</f>
        <v>Mitologia nórdica; Mitologia escandinava; Xamanismo; Mito e religião</v>
      </c>
      <c r="G279" s="28" t="str">
        <f>IFERROR(__xludf.DUMMYFUNCTION("""COMPUTED_VALUE"""),"9788523713003")</f>
        <v>9788523713003</v>
      </c>
      <c r="H279" s="29" t="str">
        <f>IFERROR(__xludf.DUMMYFUNCTION("""COMPUTED_VALUE"""),"http://www.editora.ufpb.br/sistema/press5/index.php/UFPB/catalog/book/509")</f>
        <v>http://www.editora.ufpb.br/sistema/press5/index.php/UFPB/catalog/book/509</v>
      </c>
      <c r="I279" s="24" t="str">
        <f>IFERROR(__xludf.DUMMYFUNCTION("""COMPUTED_VALUE"""),"Ciências Humanas")</f>
        <v>Ciências Humanas</v>
      </c>
    </row>
    <row r="280">
      <c r="A280" s="24" t="str">
        <f>IFERROR(__xludf.DUMMYFUNCTION("""COMPUTED_VALUE"""),"Devastação e preservação ambiental: os parques nacionais do estado do Rio de Janeiro")</f>
        <v>Devastação e preservação ambiental: os parques nacionais do estado do Rio de Janeiro</v>
      </c>
      <c r="B280" s="24" t="str">
        <f>IFERROR(__xludf.DUMMYFUNCTION("""COMPUTED_VALUE"""),"José Augusto Drummond")</f>
        <v>José Augusto Drummond</v>
      </c>
      <c r="C280" s="24" t="str">
        <f>IFERROR(__xludf.DUMMYFUNCTION("""COMPUTED_VALUE"""),"Niterói, RJ")</f>
        <v>Niterói, RJ</v>
      </c>
      <c r="D280" s="24" t="str">
        <f>IFERROR(__xludf.DUMMYFUNCTION("""COMPUTED_VALUE"""),"EDUFF")</f>
        <v>EDUFF</v>
      </c>
      <c r="E280" s="25">
        <f>IFERROR(__xludf.DUMMYFUNCTION("""COMPUTED_VALUE"""),1997.0)</f>
        <v>1997</v>
      </c>
      <c r="F280" s="24" t="str">
        <f>IFERROR(__xludf.DUMMYFUNCTION("""COMPUTED_VALUE"""),"Meio ambiente - Preservação; Proteção social; Parques nacionais - Rio de Janeiro (Estado)")</f>
        <v>Meio ambiente - Preservação; Proteção social; Parques nacionais - Rio de Janeiro (Estado)</v>
      </c>
      <c r="G280" s="28" t="str">
        <f>IFERROR(__xludf.DUMMYFUNCTION("""COMPUTED_VALUE"""),"8522802041")</f>
        <v>8522802041</v>
      </c>
      <c r="H280" s="29" t="str">
        <f>IFERROR(__xludf.DUMMYFUNCTION("""COMPUTED_VALUE"""),"http://www.eduff.uff.br/ebooks/Devastacao-e-preservacao-ambiental-no-Rio-de-Janeiro.pdf")</f>
        <v>http://www.eduff.uff.br/ebooks/Devastacao-e-preservacao-ambiental-no-Rio-de-Janeiro.pdf</v>
      </c>
      <c r="I280" s="24" t="str">
        <f>IFERROR(__xludf.DUMMYFUNCTION("""COMPUTED_VALUE"""),"Ciências Humanas")</f>
        <v>Ciências Humanas</v>
      </c>
    </row>
    <row r="281">
      <c r="A281" s="24" t="str">
        <f>IFERROR(__xludf.DUMMYFUNCTION("""COMPUTED_VALUE"""),"Devoção, arte e território ")</f>
        <v>Devoção, arte e território </v>
      </c>
      <c r="B281" s="24" t="str">
        <f>IFERROR(__xludf.DUMMYFUNCTION("""COMPUTED_VALUE"""),"Mary Anne Vieira Silva; João Guilherme da Trindade Curado; Maria Idelma Vieira D’Abadia (org.)")</f>
        <v>Mary Anne Vieira Silva; João Guilherme da Trindade Curado; Maria Idelma Vieira D’Abadia (org.)</v>
      </c>
      <c r="C281" s="24" t="str">
        <f>IFERROR(__xludf.DUMMYFUNCTION("""COMPUTED_VALUE"""),"Anápolis")</f>
        <v>Anápolis</v>
      </c>
      <c r="D281" s="24" t="str">
        <f>IFERROR(__xludf.DUMMYFUNCTION("""COMPUTED_VALUE"""),"UEG")</f>
        <v>UEG</v>
      </c>
      <c r="E281" s="25">
        <f>IFERROR(__xludf.DUMMYFUNCTION("""COMPUTED_VALUE"""),2019.0)</f>
        <v>2019</v>
      </c>
      <c r="F281" s="24" t="str">
        <f>IFERROR(__xludf.DUMMYFUNCTION("""COMPUTED_VALUE"""),"Cultura popular – vivências religiosas; Cerrado – história e literatura; Impactos socioambientais; Planejamento territorial")</f>
        <v>Cultura popular – vivências religiosas; Cerrado – história e literatura; Impactos socioambientais; Planejamento territorial</v>
      </c>
      <c r="G281" s="28" t="str">
        <f>IFERROR(__xludf.DUMMYFUNCTION("""COMPUTED_VALUE"""),"9788555820762")</f>
        <v>9788555820762</v>
      </c>
      <c r="H281" s="29" t="str">
        <f>IFERROR(__xludf.DUMMYFUNCTION("""COMPUTED_VALUE"""),"http://cdn.ueg.edu.br/source/editora_ueg/conteudo_extensao/11329/ebook_2019_devocao_arte_territorio.pdf")</f>
        <v>http://cdn.ueg.edu.br/source/editora_ueg/conteudo_extensao/11329/ebook_2019_devocao_arte_territorio.pdf</v>
      </c>
      <c r="I281" s="24" t="str">
        <f>IFERROR(__xludf.DUMMYFUNCTION("""COMPUTED_VALUE"""),"Ciências Humanas")</f>
        <v>Ciências Humanas</v>
      </c>
    </row>
    <row r="282">
      <c r="A282" s="24" t="str">
        <f>IFERROR(__xludf.DUMMYFUNCTION("""COMPUTED_VALUE"""),"Dialogar é preciso: estudos e experiências interdisciplinares na escola")</f>
        <v>Dialogar é preciso: estudos e experiências interdisciplinares na escola</v>
      </c>
      <c r="B282" s="24" t="str">
        <f>IFERROR(__xludf.DUMMYFUNCTION("""COMPUTED_VALUE"""),"organização de Renato Araújo Teixeira")</f>
        <v>organização de Renato Araújo Teixeira</v>
      </c>
      <c r="C282" s="24" t="str">
        <f>IFERROR(__xludf.DUMMYFUNCTION("""COMPUTED_VALUE"""),"Natal, RN")</f>
        <v>Natal, RN</v>
      </c>
      <c r="D282" s="24" t="str">
        <f>IFERROR(__xludf.DUMMYFUNCTION("""COMPUTED_VALUE"""),"Editora do IFRN; Editora do IFG")</f>
        <v>Editora do IFRN; Editora do IFG</v>
      </c>
      <c r="E282" s="25">
        <f>IFERROR(__xludf.DUMMYFUNCTION("""COMPUTED_VALUE"""),2016.0)</f>
        <v>2016</v>
      </c>
      <c r="F282" s="24" t="str">
        <f>IFERROR(__xludf.DUMMYFUNCTION("""COMPUTED_VALUE"""),"Interdisciplinaridade - Educação; Prática pedagógica; Didática")</f>
        <v>Interdisciplinaridade - Educação; Prática pedagógica; Didática</v>
      </c>
      <c r="G282" s="28" t="str">
        <f>IFERROR(__xludf.DUMMYFUNCTION("""COMPUTED_VALUE"""),"9788583332725")</f>
        <v>9788583332725</v>
      </c>
      <c r="H282" s="29" t="str">
        <f>IFERROR(__xludf.DUMMYFUNCTION("""COMPUTED_VALUE"""),"https://editora.ifg.edu.br/editoraifg/catalog/view/18/16/52-2")</f>
        <v>https://editora.ifg.edu.br/editoraifg/catalog/view/18/16/52-2</v>
      </c>
      <c r="I282" s="24" t="str">
        <f>IFERROR(__xludf.DUMMYFUNCTION("""COMPUTED_VALUE"""),"Ciências Humanas")</f>
        <v>Ciências Humanas</v>
      </c>
    </row>
    <row r="283">
      <c r="A283" s="24" t="str">
        <f>IFERROR(__xludf.DUMMYFUNCTION("""COMPUTED_VALUE"""),"Diálogos com os professores: práticas e reflexões sobre a inclusão escolar")</f>
        <v>Diálogos com os professores: práticas e reflexões sobre a inclusão escolar</v>
      </c>
      <c r="B283" s="24" t="str">
        <f>IFERROR(__xludf.DUMMYFUNCTION("""COMPUTED_VALUE"""),"orgs. Andressa Mafezoni Caetano, Vitor Gomes")</f>
        <v>orgs. Andressa Mafezoni Caetano, Vitor Gomes</v>
      </c>
      <c r="C283" s="24" t="str">
        <f>IFERROR(__xludf.DUMMYFUNCTION("""COMPUTED_VALUE"""),"Vitória")</f>
        <v>Vitória</v>
      </c>
      <c r="D283" s="24" t="str">
        <f>IFERROR(__xludf.DUMMYFUNCTION("""COMPUTED_VALUE"""),"EDUFES")</f>
        <v>EDUFES</v>
      </c>
      <c r="E283" s="25">
        <f>IFERROR(__xludf.DUMMYFUNCTION("""COMPUTED_VALUE"""),2016.0)</f>
        <v>2016</v>
      </c>
      <c r="F283" s="24" t="str">
        <f>IFERROR(__xludf.DUMMYFUNCTION("""COMPUTED_VALUE"""),"Inclusão escolar; Autismo em crianças; Deficientes visuais")</f>
        <v>Inclusão escolar; Autismo em crianças; Deficientes visuais</v>
      </c>
      <c r="G283" s="28" t="str">
        <f>IFERROR(__xludf.DUMMYFUNCTION("""COMPUTED_VALUE"""),"9788577723263")</f>
        <v>9788577723263</v>
      </c>
      <c r="H283" s="29" t="str">
        <f>IFERROR(__xludf.DUMMYFUNCTION("""COMPUTED_VALUE"""),"http://repositorio.ufes.br/bitstream/10/6842/1/Dialogos%20com%20os%20professores_Edufes_vers%C3%A3o%20digital.pdf")</f>
        <v>http://repositorio.ufes.br/bitstream/10/6842/1/Dialogos%20com%20os%20professores_Edufes_vers%C3%A3o%20digital.pdf</v>
      </c>
      <c r="I283" s="24" t="str">
        <f>IFERROR(__xludf.DUMMYFUNCTION("""COMPUTED_VALUE"""),"Ciências Humanas")</f>
        <v>Ciências Humanas</v>
      </c>
    </row>
    <row r="284">
      <c r="A284" s="24" t="str">
        <f>IFERROR(__xludf.DUMMYFUNCTION("""COMPUTED_VALUE"""),"Diálogos curriculares entre Brasil e México")</f>
        <v>Diálogos curriculares entre Brasil e México</v>
      </c>
      <c r="B284" s="24" t="str">
        <f>IFERROR(__xludf.DUMMYFUNCTION("""COMPUTED_VALUE"""),"Alice Casimiro Lopes e Alicia de Alba (orgs.)")</f>
        <v>Alice Casimiro Lopes e Alicia de Alba (orgs.)</v>
      </c>
      <c r="C284" s="24" t="str">
        <f>IFERROR(__xludf.DUMMYFUNCTION("""COMPUTED_VALUE"""),"Rio de Janeiro")</f>
        <v>Rio de Janeiro</v>
      </c>
      <c r="D284" s="24" t="str">
        <f>IFERROR(__xludf.DUMMYFUNCTION("""COMPUTED_VALUE"""),"EdUERJ")</f>
        <v>EdUERJ</v>
      </c>
      <c r="E284" s="25">
        <f>IFERROR(__xludf.DUMMYFUNCTION("""COMPUTED_VALUE"""),2014.0)</f>
        <v>2014</v>
      </c>
      <c r="F284" s="24" t="str">
        <f>IFERROR(__xludf.DUMMYFUNCTION("""COMPUTED_VALUE"""),"Currículos; Avaliação; Brasil;. México")</f>
        <v>Currículos; Avaliação; Brasil;. México</v>
      </c>
      <c r="G284" s="28" t="str">
        <f>IFERROR(__xludf.DUMMYFUNCTION("""COMPUTED_VALUE"""),"9788575113332")</f>
        <v>9788575113332</v>
      </c>
      <c r="H284" s="29" t="str">
        <f>IFERROR(__xludf.DUMMYFUNCTION("""COMPUTED_VALUE"""),"https://www.eduerj.com/eng/?product=dialogos-curriculares-entre-brasil-e-mexico-ebook")</f>
        <v>https://www.eduerj.com/eng/?product=dialogos-curriculares-entre-brasil-e-mexico-ebook</v>
      </c>
      <c r="I284" s="24" t="str">
        <f>IFERROR(__xludf.DUMMYFUNCTION("""COMPUTED_VALUE"""),"Ciências Humanas")</f>
        <v>Ciências Humanas</v>
      </c>
    </row>
    <row r="285">
      <c r="A285" s="24" t="str">
        <f>IFERROR(__xludf.DUMMYFUNCTION("""COMPUTED_VALUE"""),"Diálogos entre a universidade e a escola na (trans)formação de professores de língua")</f>
        <v>Diálogos entre a universidade e a escola na (trans)formação de professores de língua</v>
      </c>
      <c r="B285" s="24" t="str">
        <f>IFERROR(__xludf.DUMMYFUNCTION("""COMPUTED_VALUE"""),"Carla Conti de Freitas; Giuliana Castro Brossi; Valéria Rosa da Silva; Alcides Thereza Hermes Junior (org.)")</f>
        <v>Carla Conti de Freitas; Giuliana Castro Brossi; Valéria Rosa da Silva; Alcides Thereza Hermes Junior (org.)</v>
      </c>
      <c r="C285" s="24" t="str">
        <f>IFERROR(__xludf.DUMMYFUNCTION("""COMPUTED_VALUE"""),"Anápolis")</f>
        <v>Anápolis</v>
      </c>
      <c r="D285" s="24" t="str">
        <f>IFERROR(__xludf.DUMMYFUNCTION("""COMPUTED_VALUE"""),"UEG")</f>
        <v>UEG</v>
      </c>
      <c r="E285" s="25">
        <f>IFERROR(__xludf.DUMMYFUNCTION("""COMPUTED_VALUE"""),2018.0)</f>
        <v>2018</v>
      </c>
      <c r="F285" s="24" t="str">
        <f>IFERROR(__xludf.DUMMYFUNCTION("""COMPUTED_VALUE"""),"Ensino; Formação de professores; Letramento; Língua Inglesa para crianças")</f>
        <v>Ensino; Formação de professores; Letramento; Língua Inglesa para crianças</v>
      </c>
      <c r="G285" s="28" t="str">
        <f>IFERROR(__xludf.DUMMYFUNCTION("""COMPUTED_VALUE"""),"9788555820557")</f>
        <v>9788555820557</v>
      </c>
      <c r="H285" s="29" t="str">
        <f>IFERROR(__xludf.DUMMYFUNCTION("""COMPUTED_VALUE"""),"http://cdn.ueg.edu.br/source/editora_ueg/conteudo_extensao/11259/ebook_enfople_2018.pdf")</f>
        <v>http://cdn.ueg.edu.br/source/editora_ueg/conteudo_extensao/11259/ebook_enfople_2018.pdf</v>
      </c>
      <c r="I285" s="24" t="str">
        <f>IFERROR(__xludf.DUMMYFUNCTION("""COMPUTED_VALUE"""),"Ciências Humanas")</f>
        <v>Ciências Humanas</v>
      </c>
    </row>
    <row r="286">
      <c r="A286" s="24" t="str">
        <f>IFERROR(__xludf.DUMMYFUNCTION("""COMPUTED_VALUE"""),"Diálogos entre movimentos sociais, Ministério Público e universidade: a experiência de construção de uma agenda de atuação em políticas públicas e direitos humanos na Amazônia")</f>
        <v>Diálogos entre movimentos sociais, Ministério Público e universidade: a experiência de construção de uma agenda de atuação em políticas públicas e direitos humanos na Amazônia</v>
      </c>
      <c r="B286" s="24" t="str">
        <f>IFERROR(__xludf.DUMMYFUNCTION("""COMPUTED_VALUE"""),"Alzira Nogueira da Silva, Antonio Carlos Sardinha, Nicolau Eládio; Bassalo Crispino (org.) ")</f>
        <v>Alzira Nogueira da Silva, Antonio Carlos Sardinha, Nicolau Eládio; Bassalo Crispino (org.) </v>
      </c>
      <c r="C286" s="24" t="str">
        <f>IFERROR(__xludf.DUMMYFUNCTION("""COMPUTED_VALUE"""),"Macapá")</f>
        <v>Macapá</v>
      </c>
      <c r="D286" s="24" t="str">
        <f>IFERROR(__xludf.DUMMYFUNCTION("""COMPUTED_VALUE"""),"UNIFAP")</f>
        <v>UNIFAP</v>
      </c>
      <c r="E286" s="25">
        <f>IFERROR(__xludf.DUMMYFUNCTION("""COMPUTED_VALUE"""),2020.0)</f>
        <v>2020</v>
      </c>
      <c r="F286" s="24" t="str">
        <f>IFERROR(__xludf.DUMMYFUNCTION("""COMPUTED_VALUE"""),"Políticas Públicas; Movimentos Sociais; Ministério Público")</f>
        <v>Políticas Públicas; Movimentos Sociais; Ministério Público</v>
      </c>
      <c r="G286" s="28" t="str">
        <f>IFERROR(__xludf.DUMMYFUNCTION("""COMPUTED_VALUE"""),"9786599011078")</f>
        <v>9786599011078</v>
      </c>
      <c r="H286" s="29" t="str">
        <f>IFERROR(__xludf.DUMMYFUNCTION("""COMPUTED_VALUE"""),"https://www2.unifap.br/editora/files/2020/08/dialogos-entre-movimentos-sociais-e-mp.pdf")</f>
        <v>https://www2.unifap.br/editora/files/2020/08/dialogos-entre-movimentos-sociais-e-mp.pdf</v>
      </c>
      <c r="I286" s="24" t="str">
        <f>IFERROR(__xludf.DUMMYFUNCTION("""COMPUTED_VALUE"""),"Ciências Humanas")</f>
        <v>Ciências Humanas</v>
      </c>
    </row>
    <row r="287">
      <c r="A287" s="24" t="str">
        <f>IFERROR(__xludf.DUMMYFUNCTION("""COMPUTED_VALUE"""),"Diálogos sobre a metafísica e a religião: primeiro diálogo")</f>
        <v>Diálogos sobre a metafísica e a religião: primeiro diálogo</v>
      </c>
      <c r="B287" s="24" t="str">
        <f>IFERROR(__xludf.DUMMYFUNCTION("""COMPUTED_VALUE"""),"Malebranche, Nicolas ")</f>
        <v>Malebranche, Nicolas </v>
      </c>
      <c r="C287" s="24" t="str">
        <f>IFERROR(__xludf.DUMMYFUNCTION("""COMPUTED_VALUE"""),"Curitiba")</f>
        <v>Curitiba</v>
      </c>
      <c r="D287" s="24" t="str">
        <f>IFERROR(__xludf.DUMMYFUNCTION("""COMPUTED_VALUE"""),"SCHLA/UFPR")</f>
        <v>SCHLA/UFPR</v>
      </c>
      <c r="E287" s="25">
        <f>IFERROR(__xludf.DUMMYFUNCTION("""COMPUTED_VALUE"""),2011.0)</f>
        <v>2011</v>
      </c>
      <c r="F287" s="24" t="str">
        <f>IFERROR(__xludf.DUMMYFUNCTION("""COMPUTED_VALUE"""),"Filosofia; Filosofia - História; Metafísica")</f>
        <v>Filosofia; Filosofia - História; Metafísica</v>
      </c>
      <c r="G287" s="28" t="str">
        <f>IFERROR(__xludf.DUMMYFUNCTION("""COMPUTED_VALUE"""),"9788599229101")</f>
        <v>9788599229101</v>
      </c>
      <c r="H287" s="29" t="str">
        <f>IFERROR(__xludf.DUMMYFUNCTION("""COMPUTED_VALUE"""),"http://hdl.handle.net/1884/29815")</f>
        <v>http://hdl.handle.net/1884/29815</v>
      </c>
      <c r="I287" s="24" t="str">
        <f>IFERROR(__xludf.DUMMYFUNCTION("""COMPUTED_VALUE"""),"Ciências Humanas")</f>
        <v>Ciências Humanas</v>
      </c>
    </row>
    <row r="288">
      <c r="A288" s="24" t="str">
        <f>IFERROR(__xludf.DUMMYFUNCTION("""COMPUTED_VALUE"""),"Dicionário crítico de gênero")</f>
        <v>Dicionário crítico de gênero</v>
      </c>
      <c r="B288" s="24" t="str">
        <f>IFERROR(__xludf.DUMMYFUNCTION("""COMPUTED_VALUE"""),"Ana Maria Colling, Losandro Antônio Tedeschi (org.)")</f>
        <v>Ana Maria Colling, Losandro Antônio Tedeschi (org.)</v>
      </c>
      <c r="C288" s="24" t="str">
        <f>IFERROR(__xludf.DUMMYFUNCTION("""COMPUTED_VALUE"""),"Dourados, MS")</f>
        <v>Dourados, MS</v>
      </c>
      <c r="D288" s="24" t="str">
        <f>IFERROR(__xludf.DUMMYFUNCTION("""COMPUTED_VALUE"""),"Ed. Universidade Federal da Grande Dourados")</f>
        <v>Ed. Universidade Federal da Grande Dourados</v>
      </c>
      <c r="E288" s="25">
        <f>IFERROR(__xludf.DUMMYFUNCTION("""COMPUTED_VALUE"""),2019.0)</f>
        <v>2019</v>
      </c>
      <c r="F288" s="24" t="str">
        <f>IFERROR(__xludf.DUMMYFUNCTION("""COMPUTED_VALUE"""),"Papel sexual – Dicionários; Sexismo – Dicionários")</f>
        <v>Papel sexual – Dicionários; Sexismo – Dicionários</v>
      </c>
      <c r="G288" s="28" t="str">
        <f>IFERROR(__xludf.DUMMYFUNCTION("""COMPUTED_VALUE"""),"9788581471556")</f>
        <v>9788581471556</v>
      </c>
      <c r="H288" s="29" t="str">
        <f>IFERROR(__xludf.DUMMYFUNCTION("""COMPUTED_VALUE"""),"http://omp.ufgd.edu.br/omp/index.php/livrosabertos/catalog/view/2/2/29-1")</f>
        <v>http://omp.ufgd.edu.br/omp/index.php/livrosabertos/catalog/view/2/2/29-1</v>
      </c>
      <c r="I288" s="24" t="str">
        <f>IFERROR(__xludf.DUMMYFUNCTION("""COMPUTED_VALUE"""),"Ciências Humanas")</f>
        <v>Ciências Humanas</v>
      </c>
    </row>
    <row r="289">
      <c r="A289" s="24" t="str">
        <f>IFERROR(__xludf.DUMMYFUNCTION("""COMPUTED_VALUE"""),"Dicionário de História de Pelotas")</f>
        <v>Dicionário de História de Pelotas</v>
      </c>
      <c r="B289" s="24" t="str">
        <f>IFERROR(__xludf.DUMMYFUNCTION("""COMPUTED_VALUE"""),"Loner, Beatriz Ana; Gill, Lorena Almeida; Magalhães, Mario Osório")</f>
        <v>Loner, Beatriz Ana; Gill, Lorena Almeida; Magalhães, Mario Osório</v>
      </c>
      <c r="C289" s="24" t="str">
        <f>IFERROR(__xludf.DUMMYFUNCTION("""COMPUTED_VALUE"""),"Pelotas")</f>
        <v>Pelotas</v>
      </c>
      <c r="D289" s="24" t="str">
        <f>IFERROR(__xludf.DUMMYFUNCTION("""COMPUTED_VALUE"""),"UFPel")</f>
        <v>UFPel</v>
      </c>
      <c r="E289" s="25">
        <f>IFERROR(__xludf.DUMMYFUNCTION("""COMPUTED_VALUE"""),2017.0)</f>
        <v>2017</v>
      </c>
      <c r="F289" s="37" t="str">
        <f>IFERROR(__xludf.DUMMYFUNCTION("""COMPUTED_VALUE"""),"Pelotas; História; Dicionário")</f>
        <v>Pelotas; História; Dicionário</v>
      </c>
      <c r="G289" s="28" t="str">
        <f>IFERROR(__xludf.DUMMYFUNCTION("""COMPUTED_VALUE"""),"9788551700167")</f>
        <v>9788551700167</v>
      </c>
      <c r="H289" s="29" t="str">
        <f>IFERROR(__xludf.DUMMYFUNCTION("""COMPUTED_VALUE"""),"http://repositorio.ufpel.edu.br:8080/bitstream/prefix/3735/1/Dicion%c3%a1rio%20de%20Hist%c3%b3ria%20de%20Pelotas.pdf")</f>
        <v>http://repositorio.ufpel.edu.br:8080/bitstream/prefix/3735/1/Dicion%c3%a1rio%20de%20Hist%c3%b3ria%20de%20Pelotas.pdf</v>
      </c>
      <c r="I289" s="24" t="str">
        <f>IFERROR(__xludf.DUMMYFUNCTION("""COMPUTED_VALUE"""),"Ciências Humanas")</f>
        <v>Ciências Humanas</v>
      </c>
    </row>
    <row r="290">
      <c r="A290" s="24" t="str">
        <f>IFERROR(__xludf.DUMMYFUNCTION("""COMPUTED_VALUE"""),"Dicionário nada convencional: sobre a exclusão no oeste catarinense*")</f>
        <v>Dicionário nada convencional: sobre a exclusão no oeste catarinense*</v>
      </c>
      <c r="B290" s="24" t="str">
        <f>IFERROR(__xludf.DUMMYFUNCTION("""COMPUTED_VALUE"""),"Arlene Renk")</f>
        <v>Arlene Renk</v>
      </c>
      <c r="C290" s="24" t="str">
        <f>IFERROR(__xludf.DUMMYFUNCTION("""COMPUTED_VALUE"""),"Chapecó")</f>
        <v>Chapecó</v>
      </c>
      <c r="D290" s="24" t="str">
        <f>IFERROR(__xludf.DUMMYFUNCTION("""COMPUTED_VALUE"""),"Argos")</f>
        <v>Argos</v>
      </c>
      <c r="E290" s="25">
        <f>IFERROR(__xludf.DUMMYFUNCTION("""COMPUTED_VALUE"""),2013.0)</f>
        <v>2013</v>
      </c>
      <c r="F290" s="24" t="str">
        <f>IFERROR(__xludf.DUMMYFUNCTION("""COMPUTED_VALUE"""),"Letras - Português. Linguagem - Santa Catarina. Vocábulos. Oeste Catarinense")</f>
        <v>Letras - Português. Linguagem - Santa Catarina. Vocábulos. Oeste Catarinense</v>
      </c>
      <c r="G290" s="28" t="str">
        <f>IFERROR(__xludf.DUMMYFUNCTION("""COMPUTED_VALUE"""),"9788578970956")</f>
        <v>9788578970956</v>
      </c>
      <c r="H290" s="29" t="str">
        <f>IFERROR(__xludf.DUMMYFUNCTION("""COMPUTED_VALUE"""),"https://www.editoraargos.com.br/farol/editoraargos/ebook/dicionario-nada-convencional-sobre-a-exclusao-no-oeste-catarinense/33247/")</f>
        <v>https://www.editoraargos.com.br/farol/editoraargos/ebook/dicionario-nada-convencional-sobre-a-exclusao-no-oeste-catarinense/33247/</v>
      </c>
      <c r="I290" s="24" t="str">
        <f>IFERROR(__xludf.DUMMYFUNCTION("""COMPUTED_VALUE"""),"Ciências Humanas")</f>
        <v>Ciências Humanas</v>
      </c>
    </row>
    <row r="291">
      <c r="A291" s="24" t="str">
        <f>IFERROR(__xludf.DUMMYFUNCTION("""COMPUTED_VALUE"""),"Dilemas e diálogos platinos: Fronteiras")</f>
        <v>Dilemas e diálogos platinos: Fronteiras</v>
      </c>
      <c r="B291" s="24" t="str">
        <f>IFERROR(__xludf.DUMMYFUNCTION("""COMPUTED_VALUE"""),"Orgs: Angel Nuñes, Maria Medianeira Padoin, Tito Carlos Machado de Oliveira.")</f>
        <v>Orgs: Angel Nuñes, Maria Medianeira Padoin, Tito Carlos Machado de Oliveira.</v>
      </c>
      <c r="C291" s="24" t="str">
        <f>IFERROR(__xludf.DUMMYFUNCTION("""COMPUTED_VALUE"""),"Dourados, MS")</f>
        <v>Dourados, MS</v>
      </c>
      <c r="D291" s="24" t="str">
        <f>IFERROR(__xludf.DUMMYFUNCTION("""COMPUTED_VALUE"""),"Ed. UFGD")</f>
        <v>Ed. UFGD</v>
      </c>
      <c r="E291" s="25">
        <f>IFERROR(__xludf.DUMMYFUNCTION("""COMPUTED_VALUE"""),2010.0)</f>
        <v>2010</v>
      </c>
      <c r="F291" s="24" t="str">
        <f>IFERROR(__xludf.DUMMYFUNCTION("""COMPUTED_VALUE"""),"América Latina, Bacia do Prata – Aspectos socioeconômicos; Fronteiras; Brasil – Fronteiras – Disparidades regionais; Brasil – Relações exteriores; Geopolítica – América do Sul, Bacia do Prata")</f>
        <v>América Latina, Bacia do Prata – Aspectos socioeconômicos; Fronteiras; Brasil – Fronteiras – Disparidades regionais; Brasil – Relações exteriores; Geopolítica – América do Sul, Bacia do Prata</v>
      </c>
      <c r="G291" s="28" t="str">
        <f>IFERROR(__xludf.DUMMYFUNCTION("""COMPUTED_VALUE"""),"9788561228705 (v1)9788561228712 (v2) ")</f>
        <v>9788561228705 (v1)9788561228712 (v2) </v>
      </c>
      <c r="H291" s="29" t="str">
        <f>IFERROR(__xludf.DUMMYFUNCTION("""COMPUTED_VALUE"""),"http://omp.ufgd.edu.br/omp/index.php/livrosabertos/catalog/view/73/76/256-1")</f>
        <v>http://omp.ufgd.edu.br/omp/index.php/livrosabertos/catalog/view/73/76/256-1</v>
      </c>
      <c r="I291" s="24" t="str">
        <f>IFERROR(__xludf.DUMMYFUNCTION("""COMPUTED_VALUE"""),"Ciências Humanas")</f>
        <v>Ciências Humanas</v>
      </c>
    </row>
    <row r="292">
      <c r="A292" s="24" t="str">
        <f>IFERROR(__xludf.DUMMYFUNCTION("""COMPUTED_VALUE"""),"Dilemas e diálogos platinos: Relações e Práticas Socioculturais")</f>
        <v>Dilemas e diálogos platinos: Relações e Práticas Socioculturais</v>
      </c>
      <c r="B292" s="24" t="str">
        <f>IFERROR(__xludf.DUMMYFUNCTION("""COMPUTED_VALUE"""),"Orgs: Angel Nuñes, Maria Medianeira Padoin, Tito Carlos Machado de Oliveira.")</f>
        <v>Orgs: Angel Nuñes, Maria Medianeira Padoin, Tito Carlos Machado de Oliveira.</v>
      </c>
      <c r="C292" s="24" t="str">
        <f>IFERROR(__xludf.DUMMYFUNCTION("""COMPUTED_VALUE"""),"Dourados, MS")</f>
        <v>Dourados, MS</v>
      </c>
      <c r="D292" s="24" t="str">
        <f>IFERROR(__xludf.DUMMYFUNCTION("""COMPUTED_VALUE"""),"Ed. UFGD")</f>
        <v>Ed. UFGD</v>
      </c>
      <c r="E292" s="25">
        <f>IFERROR(__xludf.DUMMYFUNCTION("""COMPUTED_VALUE"""),2010.0)</f>
        <v>2010</v>
      </c>
      <c r="F292" s="24" t="str">
        <f>IFERROR(__xludf.DUMMYFUNCTION("""COMPUTED_VALUE"""),"América Latina, Bacia do Prata – Aspectos socioeconômicos; Fronteiras; Brasil – Fronteiras – Disparidades regionais; Brasil – Relações exteriores; Geopolítica – América do Sul, Bacia do Prata")</f>
        <v>América Latina, Bacia do Prata – Aspectos socioeconômicos; Fronteiras; Brasil – Fronteiras – Disparidades regionais; Brasil – Relações exteriores; Geopolítica – América do Sul, Bacia do Prata</v>
      </c>
      <c r="G292" s="28" t="str">
        <f>IFERROR(__xludf.DUMMYFUNCTION("""COMPUTED_VALUE"""),"9788561228705 (v1)9788561228712 (v2)")</f>
        <v>9788561228705 (v1)9788561228712 (v2)</v>
      </c>
      <c r="H292" s="29" t="str">
        <f>IFERROR(__xludf.DUMMYFUNCTION("""COMPUTED_VALUE"""),"http://omp.ufgd.edu.br/omp/index.php/livrosabertos/catalog/view/148/77/516-1")</f>
        <v>http://omp.ufgd.edu.br/omp/index.php/livrosabertos/catalog/view/148/77/516-1</v>
      </c>
      <c r="I292" s="24" t="str">
        <f>IFERROR(__xludf.DUMMYFUNCTION("""COMPUTED_VALUE"""),"Ciências Humanas")</f>
        <v>Ciências Humanas</v>
      </c>
    </row>
    <row r="293">
      <c r="A293" s="24" t="str">
        <f>IFERROR(__xludf.DUMMYFUNCTION("""COMPUTED_VALUE"""),"Dinâmicas identitárias, culturais e de gênero em Cabo Verde")</f>
        <v>Dinâmicas identitárias, culturais e de gênero em Cabo Verde</v>
      </c>
      <c r="B293" s="24" t="str">
        <f>IFERROR(__xludf.DUMMYFUNCTION("""COMPUTED_VALUE"""),"Polvora, Jacqueline Britto; Anjos, José Carlos Gomes dos ")</f>
        <v>Polvora, Jacqueline Britto; Anjos, José Carlos Gomes dos </v>
      </c>
      <c r="C293" s="24" t="str">
        <f>IFERROR(__xludf.DUMMYFUNCTION("""COMPUTED_VALUE"""),"Porto Alegre")</f>
        <v>Porto Alegre</v>
      </c>
      <c r="D293" s="24" t="str">
        <f>IFERROR(__xludf.DUMMYFUNCTION("""COMPUTED_VALUE"""),"UFRGS")</f>
        <v>UFRGS</v>
      </c>
      <c r="E293" s="25">
        <f>IFERROR(__xludf.DUMMYFUNCTION("""COMPUTED_VALUE"""),2016.0)</f>
        <v>2016</v>
      </c>
      <c r="F293" s="24" t="str">
        <f>IFERROR(__xludf.DUMMYFUNCTION("""COMPUTED_VALUE"""),"Antropologia; Cabo Verde; Etnografia; Feitiçaria; Identidade de gênero")</f>
        <v>Antropologia; Cabo Verde; Etnografia; Feitiçaria; Identidade de gênero</v>
      </c>
      <c r="G293" s="28" t="str">
        <f>IFERROR(__xludf.DUMMYFUNCTION("""COMPUTED_VALUE"""),"9788538603351")</f>
        <v>9788538603351</v>
      </c>
      <c r="H293" s="29" t="str">
        <f>IFERROR(__xludf.DUMMYFUNCTION("""COMPUTED_VALUE"""),"http://hdl.handle.net/10183/198711")</f>
        <v>http://hdl.handle.net/10183/198711</v>
      </c>
      <c r="I293" s="24" t="str">
        <f>IFERROR(__xludf.DUMMYFUNCTION("""COMPUTED_VALUE"""),"Ciências Humanas")</f>
        <v>Ciências Humanas</v>
      </c>
    </row>
    <row r="294">
      <c r="A294" s="24" t="str">
        <f>IFERROR(__xludf.DUMMYFUNCTION("""COMPUTED_VALUE"""),"Diocese de Ilhéus: 100 anos de história, volume I ")</f>
        <v>Diocese de Ilhéus: 100 anos de história, volume I </v>
      </c>
      <c r="B294" s="24" t="str">
        <f>IFERROR(__xludf.DUMMYFUNCTION("""COMPUTED_VALUE"""),"Janete Ruiz de Macedo (org.) ")</f>
        <v>Janete Ruiz de Macedo (org.) </v>
      </c>
      <c r="C294" s="24" t="str">
        <f>IFERROR(__xludf.DUMMYFUNCTION("""COMPUTED_VALUE"""),"Ilhéus, BA")</f>
        <v>Ilhéus, BA</v>
      </c>
      <c r="D294" s="24" t="str">
        <f>IFERROR(__xludf.DUMMYFUNCTION("""COMPUTED_VALUE"""),"Editus")</f>
        <v>Editus</v>
      </c>
      <c r="E294" s="25">
        <f>IFERROR(__xludf.DUMMYFUNCTION("""COMPUTED_VALUE"""),2013.0)</f>
        <v>2013</v>
      </c>
      <c r="F294" s="24" t="str">
        <f>IFERROR(__xludf.DUMMYFUNCTION("""COMPUTED_VALUE"""),"Igreja católica – Ilhéus (BA) – História; Ilhéus; (BA) – História eclesiástica; Ilhéus (BA) – História")</f>
        <v>Igreja católica – Ilhéus (BA) – História; Ilhéus; (BA) – História eclesiástica; Ilhéus (BA) – História</v>
      </c>
      <c r="G294" s="28" t="str">
        <f>IFERROR(__xludf.DUMMYFUNCTION("""COMPUTED_VALUE"""),"9788574553214")</f>
        <v>9788574553214</v>
      </c>
      <c r="H294" s="29" t="str">
        <f>IFERROR(__xludf.DUMMYFUNCTION("""COMPUTED_VALUE"""),"http://www.uesc.br/editora/livrosdigitais2015/diocese_ilheus.pdf")</f>
        <v>http://www.uesc.br/editora/livrosdigitais2015/diocese_ilheus.pdf</v>
      </c>
      <c r="I294" s="24" t="str">
        <f>IFERROR(__xludf.DUMMYFUNCTION("""COMPUTED_VALUE"""),"Ciências Humanas")</f>
        <v>Ciências Humanas</v>
      </c>
    </row>
    <row r="295">
      <c r="A295" s="24" t="str">
        <f>IFERROR(__xludf.DUMMYFUNCTION("""COMPUTED_VALUE"""),"Direito e barbárie no (I) mundo moderno: a questão do Outro na civilização")</f>
        <v>Direito e barbárie no (I) mundo moderno: a questão do Outro na civilização</v>
      </c>
      <c r="B295" s="24" t="str">
        <f>IFERROR(__xludf.DUMMYFUNCTION("""COMPUTED_VALUE"""),"Antonio José Guimaraes Brito")</f>
        <v>Antonio José Guimaraes Brito</v>
      </c>
      <c r="C295" s="24" t="str">
        <f>IFERROR(__xludf.DUMMYFUNCTION("""COMPUTED_VALUE"""),"Dourados, MS")</f>
        <v>Dourados, MS</v>
      </c>
      <c r="D295" s="24" t="str">
        <f>IFERROR(__xludf.DUMMYFUNCTION("""COMPUTED_VALUE"""),"Ed. UFGD")</f>
        <v>Ed. UFGD</v>
      </c>
      <c r="E295" s="25">
        <f>IFERROR(__xludf.DUMMYFUNCTION("""COMPUTED_VALUE"""),2013.0)</f>
        <v>2013</v>
      </c>
      <c r="F295" s="24" t="str">
        <f>IFERROR(__xludf.DUMMYFUNCTION("""COMPUTED_VALUE"""),"Civilização; Povos Bárbaros; Barbárie")</f>
        <v>Civilização; Povos Bárbaros; Barbárie</v>
      </c>
      <c r="G295" s="28" t="str">
        <f>IFERROR(__xludf.DUMMYFUNCTION("""COMPUTED_VALUE"""),"9788581470405")</f>
        <v>9788581470405</v>
      </c>
      <c r="H295" s="29" t="str">
        <f>IFERROR(__xludf.DUMMYFUNCTION("""COMPUTED_VALUE"""),"http://omp.ufgd.edu.br/omp/index.php/livrosabertos/catalog/view/74/81/327-1")</f>
        <v>http://omp.ufgd.edu.br/omp/index.php/livrosabertos/catalog/view/74/81/327-1</v>
      </c>
      <c r="I295" s="24" t="str">
        <f>IFERROR(__xludf.DUMMYFUNCTION("""COMPUTED_VALUE"""),"Ciências Humanas")</f>
        <v>Ciências Humanas</v>
      </c>
    </row>
    <row r="296">
      <c r="A296" s="24" t="str">
        <f>IFERROR(__xludf.DUMMYFUNCTION("""COMPUTED_VALUE"""),"Direitos fundamentais sociais: Estudos em homenagem aos 60 anos da declaração universal dos direitos humanos e aos 20 anos da Constituição Federal")</f>
        <v>Direitos fundamentais sociais: Estudos em homenagem aos 60 anos da declaração universal dos direitos humanos e aos 20 anos da Constituição Federal</v>
      </c>
      <c r="B296" s="24" t="str">
        <f>IFERROR(__xludf.DUMMYFUNCTION("""COMPUTED_VALUE"""),"Helder Baruffi (org.)")</f>
        <v>Helder Baruffi (org.)</v>
      </c>
      <c r="C296" s="24" t="str">
        <f>IFERROR(__xludf.DUMMYFUNCTION("""COMPUTED_VALUE"""),"Dourados, MS")</f>
        <v>Dourados, MS</v>
      </c>
      <c r="D296" s="24" t="str">
        <f>IFERROR(__xludf.DUMMYFUNCTION("""COMPUTED_VALUE"""),"Ed. UFGD")</f>
        <v>Ed. UFGD</v>
      </c>
      <c r="E296" s="25">
        <f>IFERROR(__xludf.DUMMYFUNCTION("""COMPUTED_VALUE"""),2009.0)</f>
        <v>2009</v>
      </c>
      <c r="F296" s="24" t="str">
        <f>IFERROR(__xludf.DUMMYFUNCTION("""COMPUTED_VALUE"""),"Direitos humanos; Direitos sociais; Direitos fundamentais sociais")</f>
        <v>Direitos humanos; Direitos sociais; Direitos fundamentais sociais</v>
      </c>
      <c r="G296" s="28" t="str">
        <f>IFERROR(__xludf.DUMMYFUNCTION("""COMPUTED_VALUE"""),"9788561228415")</f>
        <v>9788561228415</v>
      </c>
      <c r="H296" s="29" t="str">
        <f>IFERROR(__xludf.DUMMYFUNCTION("""COMPUTED_VALUE"""),"http://omp.ufgd.edu.br/omp/index.php/livrosabertos/catalog/view/75/82/328-1")</f>
        <v>http://omp.ufgd.edu.br/omp/index.php/livrosabertos/catalog/view/75/82/328-1</v>
      </c>
      <c r="I296" s="24" t="str">
        <f>IFERROR(__xludf.DUMMYFUNCTION("""COMPUTED_VALUE"""),"Ciências Humanas")</f>
        <v>Ciências Humanas</v>
      </c>
    </row>
    <row r="297">
      <c r="A297" s="24" t="str">
        <f>IFERROR(__xludf.DUMMYFUNCTION("""COMPUTED_VALUE"""),"Direitos Humanos e relações internacionais: debates contemporâneos")</f>
        <v>Direitos Humanos e relações internacionais: debates contemporâneos</v>
      </c>
      <c r="B297" s="24" t="str">
        <f>IFERROR(__xludf.DUMMYFUNCTION("""COMPUTED_VALUE"""),"organizadora: Verônica MariaBezerra Guimarães ")</f>
        <v>organizadora: Verônica MariaBezerra Guimarães </v>
      </c>
      <c r="C297" s="24" t="str">
        <f>IFERROR(__xludf.DUMMYFUNCTION("""COMPUTED_VALUE"""),"Dourados, MS")</f>
        <v>Dourados, MS</v>
      </c>
      <c r="D297" s="24" t="str">
        <f>IFERROR(__xludf.DUMMYFUNCTION("""COMPUTED_VALUE"""),"Ed. UFGD")</f>
        <v>Ed. UFGD</v>
      </c>
      <c r="E297" s="25">
        <f>IFERROR(__xludf.DUMMYFUNCTION("""COMPUTED_VALUE"""),2013.0)</f>
        <v>2013</v>
      </c>
      <c r="F297" s="24" t="str">
        <f>IFERROR(__xludf.DUMMYFUNCTION("""COMPUTED_VALUE"""),"Direitos Humanos; Direito internacional; Relações internacionais")</f>
        <v>Direitos Humanos; Direito internacional; Relações internacionais</v>
      </c>
      <c r="G297" s="28" t="str">
        <f>IFERROR(__xludf.DUMMYFUNCTION("""COMPUTED_VALUE"""),"9788581470085")</f>
        <v>9788581470085</v>
      </c>
      <c r="H297" s="29" t="str">
        <f>IFERROR(__xludf.DUMMYFUNCTION("""COMPUTED_VALUE"""),"http://omp.ufgd.edu.br/omp/index.php/livrosabertos/catalog/view/77/84/330-1")</f>
        <v>http://omp.ufgd.edu.br/omp/index.php/livrosabertos/catalog/view/77/84/330-1</v>
      </c>
      <c r="I297" s="24" t="str">
        <f>IFERROR(__xludf.DUMMYFUNCTION("""COMPUTED_VALUE"""),"Ciências Humanas")</f>
        <v>Ciências Humanas</v>
      </c>
    </row>
    <row r="298">
      <c r="A298" s="24" t="str">
        <f>IFERROR(__xludf.DUMMYFUNCTION("""COMPUTED_VALUE"""),"Direitos humanos em debate")</f>
        <v>Direitos humanos em debate</v>
      </c>
      <c r="B298" s="24" t="str">
        <f>IFERROR(__xludf.DUMMYFUNCTION("""COMPUTED_VALUE"""),"José Nilton de Sousa (org.)")</f>
        <v>José Nilton de Sousa (org.)</v>
      </c>
      <c r="C298" s="24" t="str">
        <f>IFERROR(__xludf.DUMMYFUNCTION("""COMPUTED_VALUE"""),"Niterói, RJ")</f>
        <v>Niterói, RJ</v>
      </c>
      <c r="D298" s="24" t="str">
        <f>IFERROR(__xludf.DUMMYFUNCTION("""COMPUTED_VALUE"""),"EDUFF")</f>
        <v>EDUFF</v>
      </c>
      <c r="E298" s="25">
        <f>IFERROR(__xludf.DUMMYFUNCTION("""COMPUTED_VALUE"""),2009.0)</f>
        <v>2009</v>
      </c>
      <c r="F298" s="24" t="str">
        <f>IFERROR(__xludf.DUMMYFUNCTION("""COMPUTED_VALUE"""),"Direitos humanos; Práticas sociais")</f>
        <v>Direitos humanos; Práticas sociais</v>
      </c>
      <c r="G298" s="28" t="str">
        <f>IFERROR(__xludf.DUMMYFUNCTION("""COMPUTED_VALUE"""),"9878522805044")</f>
        <v>9878522805044</v>
      </c>
      <c r="H298" s="29" t="str">
        <f>IFERROR(__xludf.DUMMYFUNCTION("""COMPUTED_VALUE"""),"http://bit.ly/Direitos-humanos-em-debate")</f>
        <v>http://bit.ly/Direitos-humanos-em-debate</v>
      </c>
      <c r="I298" s="24" t="str">
        <f>IFERROR(__xludf.DUMMYFUNCTION("""COMPUTED_VALUE"""),"Ciências Humanas")</f>
        <v>Ciências Humanas</v>
      </c>
    </row>
    <row r="299">
      <c r="A299" s="24" t="str">
        <f>IFERROR(__xludf.DUMMYFUNCTION("""COMPUTED_VALUE"""),"Direitos humanos, diversidade e movimentos sociais: um diálogo necessário")</f>
        <v>Direitos humanos, diversidade e movimentos sociais: um diálogo necessário</v>
      </c>
      <c r="B299" s="24" t="str">
        <f>IFERROR(__xludf.DUMMYFUNCTION("""COMPUTED_VALUE"""),"André Luiz Faisting; Marisa de Fátima Lomba de Farias(org.)")</f>
        <v>André Luiz Faisting; Marisa de Fátima Lomba de Farias(org.)</v>
      </c>
      <c r="C299" s="24" t="str">
        <f>IFERROR(__xludf.DUMMYFUNCTION("""COMPUTED_VALUE"""),"Dourados, MS")</f>
        <v>Dourados, MS</v>
      </c>
      <c r="D299" s="24" t="str">
        <f>IFERROR(__xludf.DUMMYFUNCTION("""COMPUTED_VALUE"""),"Ed. UFGD")</f>
        <v>Ed. UFGD</v>
      </c>
      <c r="E299" s="25">
        <f>IFERROR(__xludf.DUMMYFUNCTION("""COMPUTED_VALUE"""),2011.0)</f>
        <v>2011</v>
      </c>
      <c r="F299" s="24" t="str">
        <f>IFERROR(__xludf.DUMMYFUNCTION("""COMPUTED_VALUE"""),"Direitos humanos; Acesso à educação; Políticas públicas")</f>
        <v>Direitos humanos; Acesso à educação; Políticas públicas</v>
      </c>
      <c r="G299" s="28" t="str">
        <f>IFERROR(__xludf.DUMMYFUNCTION("""COMPUTED_VALUE"""),"9788581470122")</f>
        <v>9788581470122</v>
      </c>
      <c r="H299" s="29" t="str">
        <f>IFERROR(__xludf.DUMMYFUNCTION("""COMPUTED_VALUE"""),"http://omp.ufgd.edu.br/omp/index.php/livrosabertos/catalog/view/78/85/331-1")</f>
        <v>http://omp.ufgd.edu.br/omp/index.php/livrosabertos/catalog/view/78/85/331-1</v>
      </c>
      <c r="I299" s="24" t="str">
        <f>IFERROR(__xludf.DUMMYFUNCTION("""COMPUTED_VALUE"""),"Ciências Humanas")</f>
        <v>Ciências Humanas</v>
      </c>
    </row>
    <row r="300">
      <c r="A300" s="24" t="str">
        <f>IFERROR(__xludf.DUMMYFUNCTION("""COMPUTED_VALUE"""),"Discurso indígena: aculturação e polifonia ")</f>
        <v>Discurso indígena: aculturação e polifonia </v>
      </c>
      <c r="B300" s="24" t="str">
        <f>IFERROR(__xludf.DUMMYFUNCTION("""COMPUTED_VALUE"""),"Rita de Cássia Pacheco Limberti")</f>
        <v>Rita de Cássia Pacheco Limberti</v>
      </c>
      <c r="C300" s="24" t="str">
        <f>IFERROR(__xludf.DUMMYFUNCTION("""COMPUTED_VALUE"""),"Dourados, MS")</f>
        <v>Dourados, MS</v>
      </c>
      <c r="D300" s="24" t="str">
        <f>IFERROR(__xludf.DUMMYFUNCTION("""COMPUTED_VALUE"""),"Ed. UFGD")</f>
        <v>Ed. UFGD</v>
      </c>
      <c r="E300" s="25">
        <f>IFERROR(__xludf.DUMMYFUNCTION("""COMPUTED_VALUE"""),2009.0)</f>
        <v>2009</v>
      </c>
      <c r="F300" s="24" t="str">
        <f>IFERROR(__xludf.DUMMYFUNCTION("""COMPUTED_VALUE"""),"Discurso indígena; Índio Kaiowá – Línguas; Índio Kaiowá – Cultura")</f>
        <v>Discurso indígena; Índio Kaiowá – Línguas; Índio Kaiowá – Cultura</v>
      </c>
      <c r="G300" s="28" t="str">
        <f>IFERROR(__xludf.DUMMYFUNCTION("""COMPUTED_VALUE"""),"9788561228453")</f>
        <v>9788561228453</v>
      </c>
      <c r="H300" s="29" t="str">
        <f>IFERROR(__xludf.DUMMYFUNCTION("""COMPUTED_VALUE"""),"http://omp.ufgd.edu.br/omp/index.php/livrosabertos/catalog/view/79/86/332-1")</f>
        <v>http://omp.ufgd.edu.br/omp/index.php/livrosabertos/catalog/view/79/86/332-1</v>
      </c>
      <c r="I300" s="24" t="str">
        <f>IFERROR(__xludf.DUMMYFUNCTION("""COMPUTED_VALUE"""),"Ciências Humanas")</f>
        <v>Ciências Humanas</v>
      </c>
    </row>
    <row r="301">
      <c r="A301" s="24" t="str">
        <f>IFERROR(__xludf.DUMMYFUNCTION("""COMPUTED_VALUE"""),"Discursos Contemporâneos na Educação")</f>
        <v>Discursos Contemporâneos na Educação</v>
      </c>
      <c r="B301" s="24" t="str">
        <f>IFERROR(__xludf.DUMMYFUNCTION("""COMPUTED_VALUE"""),"André Felipe Pinto Duarte e André Márcio Picanço Favacho.")</f>
        <v>André Felipe Pinto Duarte e André Márcio Picanço Favacho.</v>
      </c>
      <c r="C301" s="24" t="str">
        <f>IFERROR(__xludf.DUMMYFUNCTION("""COMPUTED_VALUE"""),"Ouro Preto")</f>
        <v>Ouro Preto</v>
      </c>
      <c r="D301" s="24" t="str">
        <f>IFERROR(__xludf.DUMMYFUNCTION("""COMPUTED_VALUE"""),"UFOP")</f>
        <v>UFOP</v>
      </c>
      <c r="E301" s="25">
        <f>IFERROR(__xludf.DUMMYFUNCTION("""COMPUTED_VALUE"""),2015.0)</f>
        <v>2015</v>
      </c>
      <c r="F301" s="24" t="str">
        <f>IFERROR(__xludf.DUMMYFUNCTION("""COMPUTED_VALUE"""),"Educação. Humanidade. Modernidade")</f>
        <v>Educação. Humanidade. Modernidade</v>
      </c>
      <c r="G301" s="28" t="str">
        <f>IFERROR(__xludf.DUMMYFUNCTION("""COMPUTED_VALUE"""),"9788528803433")</f>
        <v>9788528803433</v>
      </c>
      <c r="H301" s="29" t="str">
        <f>IFERROR(__xludf.DUMMYFUNCTION("""COMPUTED_VALUE"""),"https://www.editora.ufop.br/index.php/editora/catalog/view/137/111/363-1")</f>
        <v>https://www.editora.ufop.br/index.php/editora/catalog/view/137/111/363-1</v>
      </c>
      <c r="I301" s="24" t="str">
        <f>IFERROR(__xludf.DUMMYFUNCTION("""COMPUTED_VALUE"""),"Ciências Humanas")</f>
        <v>Ciências Humanas</v>
      </c>
    </row>
    <row r="302">
      <c r="A302" s="24" t="str">
        <f>IFERROR(__xludf.DUMMYFUNCTION("""COMPUTED_VALUE"""),"Discursos da Educação Popular Contemporânea: Encontros com Michel Foucault e Paulo Freire (disponível temporariamente)")</f>
        <v>Discursos da Educação Popular Contemporânea: Encontros com Michel Foucault e Paulo Freire (disponível temporariamente)</v>
      </c>
      <c r="B302" s="24" t="str">
        <f>IFERROR(__xludf.DUMMYFUNCTION("""COMPUTED_VALUE"""),"Volmir José Brutscher, Afonso Celso Scocuglia.")</f>
        <v>Volmir José Brutscher, Afonso Celso Scocuglia.</v>
      </c>
      <c r="C302" s="24" t="str">
        <f>IFERROR(__xludf.DUMMYFUNCTION("""COMPUTED_VALUE"""),"João Pessoa")</f>
        <v>João Pessoa</v>
      </c>
      <c r="D302" s="24" t="str">
        <f>IFERROR(__xludf.DUMMYFUNCTION("""COMPUTED_VALUE"""),"Editora da UFPB")</f>
        <v>Editora da UFPB</v>
      </c>
      <c r="E302" s="25">
        <f>IFERROR(__xludf.DUMMYFUNCTION("""COMPUTED_VALUE"""),2017.0)</f>
        <v>2017</v>
      </c>
      <c r="F302" s="24" t="str">
        <f>IFERROR(__xludf.DUMMYFUNCTION("""COMPUTED_VALUE"""),"Educação; Educação popular; Michel Foucault; Paulo Freire; Filosofia da Educação")</f>
        <v>Educação; Educação popular; Michel Foucault; Paulo Freire; Filosofia da Educação</v>
      </c>
      <c r="G302" s="28" t="str">
        <f>IFERROR(__xludf.DUMMYFUNCTION("""COMPUTED_VALUE"""),"9788523712099")</f>
        <v>9788523712099</v>
      </c>
      <c r="H302" s="29" t="str">
        <f>IFERROR(__xludf.DUMMYFUNCTION("""COMPUTED_VALUE"""),"http://www.editora.ufpb.br/sistema/press5/index.php/UFPB/catalog/book/538")</f>
        <v>http://www.editora.ufpb.br/sistema/press5/index.php/UFPB/catalog/book/538</v>
      </c>
      <c r="I302" s="24" t="str">
        <f>IFERROR(__xludf.DUMMYFUNCTION("""COMPUTED_VALUE"""),"Ciências Humanas")</f>
        <v>Ciências Humanas</v>
      </c>
    </row>
    <row r="303">
      <c r="A303" s="24" t="str">
        <f>IFERROR(__xludf.DUMMYFUNCTION("""COMPUTED_VALUE"""),"Discursos sobre a demarcação de terras indígenas... ou de como a raposa encontrou a Serra do Sol")</f>
        <v>Discursos sobre a demarcação de terras indígenas... ou de como a raposa encontrou a Serra do Sol</v>
      </c>
      <c r="B303" s="24" t="str">
        <f>IFERROR(__xludf.DUMMYFUNCTION("""COMPUTED_VALUE"""),"Marcos Lúcio de S. Góis")</f>
        <v>Marcos Lúcio de S. Góis</v>
      </c>
      <c r="C303" s="24" t="str">
        <f>IFERROR(__xludf.DUMMYFUNCTION("""COMPUTED_VALUE"""),"Dourados, MS")</f>
        <v>Dourados, MS</v>
      </c>
      <c r="D303" s="24" t="str">
        <f>IFERROR(__xludf.DUMMYFUNCTION("""COMPUTED_VALUE"""),"Ed. UFGD")</f>
        <v>Ed. UFGD</v>
      </c>
      <c r="E303" s="25">
        <f>IFERROR(__xludf.DUMMYFUNCTION("""COMPUTED_VALUE"""),2013.0)</f>
        <v>2013</v>
      </c>
      <c r="F303" s="24" t="str">
        <f>IFERROR(__xludf.DUMMYFUNCTION("""COMPUTED_VALUE"""),"Índios – Trato; Índios – Brasil; Terras indígenas; Demarcação de terras – Análise do Discurso")</f>
        <v>Índios – Trato; Índios – Brasil; Terras indígenas; Demarcação de terras – Análise do Discurso</v>
      </c>
      <c r="G303" s="28" t="str">
        <f>IFERROR(__xludf.DUMMYFUNCTION("""COMPUTED_VALUE"""),"9788581470054")</f>
        <v>9788581470054</v>
      </c>
      <c r="H303" s="29" t="str">
        <f>IFERROR(__xludf.DUMMYFUNCTION("""COMPUTED_VALUE"""),"http://omp.ufgd.edu.br/omp/index.php/livrosabertos/catalog/view/80/87/333-1")</f>
        <v>http://omp.ufgd.edu.br/omp/index.php/livrosabertos/catalog/view/80/87/333-1</v>
      </c>
      <c r="I303" s="24" t="str">
        <f>IFERROR(__xludf.DUMMYFUNCTION("""COMPUTED_VALUE"""),"Ciências Humanas")</f>
        <v>Ciências Humanas</v>
      </c>
    </row>
    <row r="304">
      <c r="A304" s="24" t="str">
        <f>IFERROR(__xludf.DUMMYFUNCTION("""COMPUTED_VALUE"""),"Discutindo ciganos em múltiplos contextos: história, demandas por direitos e construções identitárias (disponível temporariamente)")</f>
        <v>Discutindo ciganos em múltiplos contextos: história, demandas por direitos e construções identitárias (disponível temporariamente)</v>
      </c>
      <c r="B304" s="24" t="str">
        <f>IFERROR(__xludf.DUMMYFUNCTION("""COMPUTED_VALUE"""),"Maria Patrícia Lopes Goldfarb; Mércia Rejane Rangel Batista")</f>
        <v>Maria Patrícia Lopes Goldfarb; Mércia Rejane Rangel Batista</v>
      </c>
      <c r="C304" s="24" t="str">
        <f>IFERROR(__xludf.DUMMYFUNCTION("""COMPUTED_VALUE"""),"João Pessoa")</f>
        <v>João Pessoa</v>
      </c>
      <c r="D304" s="24" t="str">
        <f>IFERROR(__xludf.DUMMYFUNCTION("""COMPUTED_VALUE"""),"Editora da UFPB")</f>
        <v>Editora da UFPB</v>
      </c>
      <c r="E304" s="25">
        <f>IFERROR(__xludf.DUMMYFUNCTION("""COMPUTED_VALUE"""),2019.0)</f>
        <v>2019</v>
      </c>
      <c r="F304" s="24" t="str">
        <f>IFERROR(__xludf.DUMMYFUNCTION("""COMPUTED_VALUE"""),"Costumes e tradições – Ciganos. Representações sociais – Ciganos. Ciganos – Brasil")</f>
        <v>Costumes e tradições – Ciganos. Representações sociais – Ciganos. Ciganos – Brasil</v>
      </c>
      <c r="G304" s="28" t="str">
        <f>IFERROR(__xludf.DUMMYFUNCTION("""COMPUTED_VALUE"""),"9788523714499")</f>
        <v>9788523714499</v>
      </c>
      <c r="H304" s="29" t="str">
        <f>IFERROR(__xludf.DUMMYFUNCTION("""COMPUTED_VALUE"""),"http://www.editora.ufpb.br/sistema/press5/index.php/UFPB/catalog/book/142")</f>
        <v>http://www.editora.ufpb.br/sistema/press5/index.php/UFPB/catalog/book/142</v>
      </c>
      <c r="I304" s="24" t="str">
        <f>IFERROR(__xludf.DUMMYFUNCTION("""COMPUTED_VALUE"""),"Ciências Humanas")</f>
        <v>Ciências Humanas</v>
      </c>
    </row>
    <row r="305">
      <c r="A305" s="24" t="str">
        <f>IFERROR(__xludf.DUMMYFUNCTION("""COMPUTED_VALUE"""),"Discutindo geografia: doze razões para se (re)pensar a formação do professor")</f>
        <v>Discutindo geografia: doze razões para se (re)pensar a formação do professor</v>
      </c>
      <c r="B305" s="24" t="str">
        <f>IFERROR(__xludf.DUMMYFUNCTION("""COMPUTED_VALUE"""),"Gilmar Alves Trindade, Rita Jaqueline Nogueira Chiapetti (org.)")</f>
        <v>Gilmar Alves Trindade, Rita Jaqueline Nogueira Chiapetti (org.)</v>
      </c>
      <c r="C305" s="24" t="str">
        <f>IFERROR(__xludf.DUMMYFUNCTION("""COMPUTED_VALUE"""),"Ilhéus, BA")</f>
        <v>Ilhéus, BA</v>
      </c>
      <c r="D305" s="24" t="str">
        <f>IFERROR(__xludf.DUMMYFUNCTION("""COMPUTED_VALUE"""),"Editus")</f>
        <v>Editus</v>
      </c>
      <c r="E305" s="25">
        <f>IFERROR(__xludf.DUMMYFUNCTION("""COMPUTED_VALUE"""),2007.0)</f>
        <v>2007</v>
      </c>
      <c r="F305" s="24" t="str">
        <f>IFERROR(__xludf.DUMMYFUNCTION("""COMPUTED_VALUE"""),"Geografia – Estudo e ensino; Geografia - Formação dos professores")</f>
        <v>Geografia – Estudo e ensino; Geografia - Formação dos professores</v>
      </c>
      <c r="G305" s="28" t="str">
        <f>IFERROR(__xludf.DUMMYFUNCTION("""COMPUTED_VALUE"""),"9788574551401")</f>
        <v>9788574551401</v>
      </c>
      <c r="H305" s="29" t="str">
        <f>IFERROR(__xludf.DUMMYFUNCTION("""COMPUTED_VALUE"""),"http://www.uesc.br/editora/livrosdigitais2015/discutindo_geografia.pdf")</f>
        <v>http://www.uesc.br/editora/livrosdigitais2015/discutindo_geografia.pdf</v>
      </c>
      <c r="I305" s="24" t="str">
        <f>IFERROR(__xludf.DUMMYFUNCTION("""COMPUTED_VALUE"""),"Ciências Humanas")</f>
        <v>Ciências Humanas</v>
      </c>
    </row>
    <row r="306">
      <c r="A306" s="24" t="str">
        <f>IFERROR(__xludf.DUMMYFUNCTION("""COMPUTED_VALUE"""),"Disputas pelo Passado: história e historiadores no império do Brasil")</f>
        <v>Disputas pelo Passado: história e historiadores no império do Brasil</v>
      </c>
      <c r="B306" s="24" t="str">
        <f>IFERROR(__xludf.DUMMYFUNCTION("""COMPUTED_VALUE"""),"Maria da Glória de Oliveira, Valdei Lopes de Araujo(org.)")</f>
        <v>Maria da Glória de Oliveira, Valdei Lopes de Araujo(org.)</v>
      </c>
      <c r="C306" s="24" t="str">
        <f>IFERROR(__xludf.DUMMYFUNCTION("""COMPUTED_VALUE"""),"Ouro Preto")</f>
        <v>Ouro Preto</v>
      </c>
      <c r="D306" s="24" t="str">
        <f>IFERROR(__xludf.DUMMYFUNCTION("""COMPUTED_VALUE"""),"UFOP")</f>
        <v>UFOP</v>
      </c>
      <c r="E306" s="25">
        <f>IFERROR(__xludf.DUMMYFUNCTION("""COMPUTED_VALUE"""),2012.0)</f>
        <v>2012</v>
      </c>
      <c r="F306" s="24" t="str">
        <f>IFERROR(__xludf.DUMMYFUNCTION("""COMPUTED_VALUE"""),"Brasil –História –Império. Historiografia –Brasil -Império")</f>
        <v>Brasil –História –Império. Historiografia –Brasil -Império</v>
      </c>
      <c r="G306" s="28" t="str">
        <f>IFERROR(__xludf.DUMMYFUNCTION("""COMPUTED_VALUE"""),"9788528802979")</f>
        <v>9788528802979</v>
      </c>
      <c r="H306" s="29" t="str">
        <f>IFERROR(__xludf.DUMMYFUNCTION("""COMPUTED_VALUE"""),"https://www.editora.ufop.br/index.php/editora/catalog/view/100/79/252-1")</f>
        <v>https://www.editora.ufop.br/index.php/editora/catalog/view/100/79/252-1</v>
      </c>
      <c r="I306" s="24" t="str">
        <f>IFERROR(__xludf.DUMMYFUNCTION("""COMPUTED_VALUE"""),"Ciências Humanas")</f>
        <v>Ciências Humanas</v>
      </c>
    </row>
    <row r="307">
      <c r="A307" s="24" t="str">
        <f>IFERROR(__xludf.DUMMYFUNCTION("""COMPUTED_VALUE"""),"Disritmia: sindicalismo e economia solidária no interior da CUT ")</f>
        <v>Disritmia: sindicalismo e economia solidária no interior da CUT </v>
      </c>
      <c r="B307" s="24" t="str">
        <f>IFERROR(__xludf.DUMMYFUNCTION("""COMPUTED_VALUE"""),"Marcos Ferraz")</f>
        <v>Marcos Ferraz</v>
      </c>
      <c r="C307" s="24" t="str">
        <f>IFERROR(__xludf.DUMMYFUNCTION("""COMPUTED_VALUE"""),"Dourados, MS")</f>
        <v>Dourados, MS</v>
      </c>
      <c r="D307" s="24" t="str">
        <f>IFERROR(__xludf.DUMMYFUNCTION("""COMPUTED_VALUE"""),"Ed. UFGD")</f>
        <v>Ed. UFGD</v>
      </c>
      <c r="E307" s="25">
        <f>IFERROR(__xludf.DUMMYFUNCTION("""COMPUTED_VALUE"""),2013.0)</f>
        <v>2013</v>
      </c>
      <c r="F307" s="37" t="str">
        <f>IFERROR(__xludf.DUMMYFUNCTION("""COMPUTED_VALUE"""),"Sindicalismo; Trabalhadores; Economia Solidária; CUT")</f>
        <v>Sindicalismo; Trabalhadores; Economia Solidária; CUT</v>
      </c>
      <c r="G307" s="28" t="str">
        <f>IFERROR(__xludf.DUMMYFUNCTION("""COMPUTED_VALUE"""),"9788581470092")</f>
        <v>9788581470092</v>
      </c>
      <c r="H307" s="29" t="str">
        <f>IFERROR(__xludf.DUMMYFUNCTION("""COMPUTED_VALUE"""),"http://omp.ufgd.edu.br/omp/index.php/livrosabertos/catalog/view/82/89/335-1")</f>
        <v>http://omp.ufgd.edu.br/omp/index.php/livrosabertos/catalog/view/82/89/335-1</v>
      </c>
      <c r="I307" s="24" t="str">
        <f>IFERROR(__xludf.DUMMYFUNCTION("""COMPUTED_VALUE"""),"Ciências Humanas")</f>
        <v>Ciências Humanas</v>
      </c>
    </row>
    <row r="308">
      <c r="A308" s="24" t="str">
        <f>IFERROR(__xludf.DUMMYFUNCTION("""COMPUTED_VALUE"""),"Ditadura militar no Brasil: a vez e a voz dos perseguidos")</f>
        <v>Ditadura militar no Brasil: a vez e a voz dos perseguidos</v>
      </c>
      <c r="B308" s="24" t="str">
        <f>IFERROR(__xludf.DUMMYFUNCTION("""COMPUTED_VALUE"""),"Afonso Celso Scocuglia")</f>
        <v>Afonso Celso Scocuglia</v>
      </c>
      <c r="C308" s="24" t="str">
        <f>IFERROR(__xludf.DUMMYFUNCTION("""COMPUTED_VALUE"""),"João Pessoa")</f>
        <v>João Pessoa</v>
      </c>
      <c r="D308" s="24" t="str">
        <f>IFERROR(__xludf.DUMMYFUNCTION("""COMPUTED_VALUE"""),"Editora da UFPB")</f>
        <v>Editora da UFPB</v>
      </c>
      <c r="E308" s="25">
        <f>IFERROR(__xludf.DUMMYFUNCTION("""COMPUTED_VALUE"""),2019.0)</f>
        <v>2019</v>
      </c>
      <c r="F308" s="24" t="str">
        <f>IFERROR(__xludf.DUMMYFUNCTION("""COMPUTED_VALUE"""),"História-Brasil. Ditadura militar-Brasil. História-memórias-ditadura militar-Brasil")</f>
        <v>História-Brasil. Ditadura militar-Brasil. História-memórias-ditadura militar-Brasil</v>
      </c>
      <c r="G308" s="28" t="str">
        <f>IFERROR(__xludf.DUMMYFUNCTION("""COMPUTED_VALUE"""),"9788523714567")</f>
        <v>9788523714567</v>
      </c>
      <c r="H308" s="29" t="str">
        <f>IFERROR(__xludf.DUMMYFUNCTION("""COMPUTED_VALUE"""),"http://www.editora.ufpb.br/sistema/press5/index.php/UFPB/catalog/book/201")</f>
        <v>http://www.editora.ufpb.br/sistema/press5/index.php/UFPB/catalog/book/201</v>
      </c>
      <c r="I308" s="24" t="str">
        <f>IFERROR(__xludf.DUMMYFUNCTION("""COMPUTED_VALUE"""),"Ciências Humanas")</f>
        <v>Ciências Humanas</v>
      </c>
    </row>
    <row r="309">
      <c r="A309" s="24" t="str">
        <f>IFERROR(__xludf.DUMMYFUNCTION("""COMPUTED_VALUE"""),"Diversas maneiras de imaginar o mundo")</f>
        <v>Diversas maneiras de imaginar o mundo</v>
      </c>
      <c r="B309" s="24" t="str">
        <f>IFERROR(__xludf.DUMMYFUNCTION("""COMPUTED_VALUE"""),"Freitas, Carina Fernandes de Andrade; Padoin, Katiana Possamai Costa")</f>
        <v>Freitas, Carina Fernandes de Andrade; Padoin, Katiana Possamai Costa</v>
      </c>
      <c r="C309" s="24" t="str">
        <f>IFERROR(__xludf.DUMMYFUNCTION("""COMPUTED_VALUE"""),"Criciúma")</f>
        <v>Criciúma</v>
      </c>
      <c r="D309" s="24" t="str">
        <f>IFERROR(__xludf.DUMMYFUNCTION("""COMPUTED_VALUE"""),"Unesc")</f>
        <v>Unesc</v>
      </c>
      <c r="E309" s="25">
        <f>IFERROR(__xludf.DUMMYFUNCTION("""COMPUTED_VALUE"""),2016.0)</f>
        <v>2016</v>
      </c>
      <c r="F309" s="24" t="str">
        <f>IFERROR(__xludf.DUMMYFUNCTION("""COMPUTED_VALUE"""),"Ensino superior – Estudo e ensino; Processo ensino-aprendizagem; Professores universitários – Formação; Prática de ensino; Didática do ensino superior")</f>
        <v>Ensino superior – Estudo e ensino; Processo ensino-aprendizagem; Professores universitários – Formação; Prática de ensino; Didática do ensino superior</v>
      </c>
      <c r="G309" s="28" t="str">
        <f>IFERROR(__xludf.DUMMYFUNCTION("""COMPUTED_VALUE"""),"9788584100590")</f>
        <v>9788584100590</v>
      </c>
      <c r="H309" s="29" t="str">
        <f>IFERROR(__xludf.DUMMYFUNCTION("""COMPUTED_VALUE"""),"http://repositorio.unesc.net/handle/1/4773")</f>
        <v>http://repositorio.unesc.net/handle/1/4773</v>
      </c>
      <c r="I309" s="24" t="str">
        <f>IFERROR(__xludf.DUMMYFUNCTION("""COMPUTED_VALUE"""),"Ciências Humanas")</f>
        <v>Ciências Humanas</v>
      </c>
    </row>
    <row r="310">
      <c r="A310" s="24" t="str">
        <f>IFERROR(__xludf.DUMMYFUNCTION("""COMPUTED_VALUE"""),"Diversidade e o campo da educação – diálogos sobre (in)tolerância religiosa")</f>
        <v>Diversidade e o campo da educação – diálogos sobre (in)tolerância religiosa</v>
      </c>
      <c r="B310" s="24" t="str">
        <f>IFERROR(__xludf.DUMMYFUNCTION("""COMPUTED_VALUE"""),"Marcos Vinicius de Freitas Reis, Antonio Carlos Sardnha, Sérgio Junqueira (org.) ")</f>
        <v>Marcos Vinicius de Freitas Reis, Antonio Carlos Sardnha, Sérgio Junqueira (org.) </v>
      </c>
      <c r="C310" s="24" t="str">
        <f>IFERROR(__xludf.DUMMYFUNCTION("""COMPUTED_VALUE"""),"Macapá")</f>
        <v>Macapá</v>
      </c>
      <c r="D310" s="24" t="str">
        <f>IFERROR(__xludf.DUMMYFUNCTION("""COMPUTED_VALUE"""),"UNIFAP")</f>
        <v>UNIFAP</v>
      </c>
      <c r="E310" s="25">
        <f>IFERROR(__xludf.DUMMYFUNCTION("""COMPUTED_VALUE"""),2017.0)</f>
        <v>2017</v>
      </c>
      <c r="F310" s="24" t="str">
        <f>IFERROR(__xludf.DUMMYFUNCTION("""COMPUTED_VALUE"""),"Diversidade; Educação")</f>
        <v>Diversidade; Educação</v>
      </c>
      <c r="G310" s="28" t="str">
        <f>IFERROR(__xludf.DUMMYFUNCTION("""COMPUTED_VALUE"""),"9788562359989")</f>
        <v>9788562359989</v>
      </c>
      <c r="H310" s="29" t="str">
        <f>IFERROR(__xludf.DUMMYFUNCTION("""COMPUTED_VALUE"""),"https://www2.unifap.br/editora/files/2019/05/diversidade-e-o-campo-da-educacao-intolerancia-religiosa.pdf")</f>
        <v>https://www2.unifap.br/editora/files/2019/05/diversidade-e-o-campo-da-educacao-intolerancia-religiosa.pdf</v>
      </c>
      <c r="I310" s="24" t="str">
        <f>IFERROR(__xludf.DUMMYFUNCTION("""COMPUTED_VALUE"""),"Ciências Humanas")</f>
        <v>Ciências Humanas</v>
      </c>
    </row>
    <row r="311">
      <c r="A311" s="24" t="str">
        <f>IFERROR(__xludf.DUMMYFUNCTION("""COMPUTED_VALUE"""),"Diversidade e o campo da educação: (re) leituras e abordagens contemporâneas")</f>
        <v>Diversidade e o campo da educação: (re) leituras e abordagens contemporâneas</v>
      </c>
      <c r="B311" s="24" t="str">
        <f>IFERROR(__xludf.DUMMYFUNCTION("""COMPUTED_VALUE"""),"(org.) Antonio Carlos Sardinha, Adriana Tenório, Marcos Vinicius de Freitas Reis ")</f>
        <v>(org.) Antonio Carlos Sardinha, Adriana Tenório, Marcos Vinicius de Freitas Reis </v>
      </c>
      <c r="C311" s="24" t="str">
        <f>IFERROR(__xludf.DUMMYFUNCTION("""COMPUTED_VALUE"""),"Macapá")</f>
        <v>Macapá</v>
      </c>
      <c r="D311" s="24" t="str">
        <f>IFERROR(__xludf.DUMMYFUNCTION("""COMPUTED_VALUE"""),"UNIFAP")</f>
        <v>UNIFAP</v>
      </c>
      <c r="E311" s="25">
        <f>IFERROR(__xludf.DUMMYFUNCTION("""COMPUTED_VALUE"""),2016.0)</f>
        <v>2016</v>
      </c>
      <c r="F311" s="24" t="str">
        <f>IFERROR(__xludf.DUMMYFUNCTION("""COMPUTED_VALUE"""),"Educação; Diversidade cultural; Políticas públicas; Educação escolar indígena")</f>
        <v>Educação; Diversidade cultural; Políticas públicas; Educação escolar indígena</v>
      </c>
      <c r="G311" s="28" t="str">
        <f>IFERROR(__xludf.DUMMYFUNCTION("""COMPUTED_VALUE"""),"9788562359446")</f>
        <v>9788562359446</v>
      </c>
      <c r="H311" s="29" t="str">
        <f>IFERROR(__xludf.DUMMYFUNCTION("""COMPUTED_VALUE"""),"https://www2.unifap.br/editora/files/2019/05/diversidades-e-o-campo-da-educacao-abordagens-contemporaneas.pdf")</f>
        <v>https://www2.unifap.br/editora/files/2019/05/diversidades-e-o-campo-da-educacao-abordagens-contemporaneas.pdf</v>
      </c>
      <c r="I311" s="24" t="str">
        <f>IFERROR(__xludf.DUMMYFUNCTION("""COMPUTED_VALUE"""),"Ciências Humanas")</f>
        <v>Ciências Humanas</v>
      </c>
    </row>
    <row r="312">
      <c r="A312" s="24" t="str">
        <f>IFERROR(__xludf.DUMMYFUNCTION("""COMPUTED_VALUE"""),"Diversidade na escola: aspectos genéticos e considerações psicopedagógicas ")</f>
        <v>Diversidade na escola: aspectos genéticos e considerações psicopedagógicas </v>
      </c>
      <c r="B312" s="24" t="str">
        <f>IFERROR(__xludf.DUMMYFUNCTION("""COMPUTED_VALUE"""),"organizadores Lília Maria de Azevedo Moreira; Josefina Castro, Maria Daniela Moreira de Sant’Ana. ")</f>
        <v>organizadores Lília Maria de Azevedo Moreira; Josefina Castro, Maria Daniela Moreira de Sant’Ana. </v>
      </c>
      <c r="C312" s="24" t="str">
        <f>IFERROR(__xludf.DUMMYFUNCTION("""COMPUTED_VALUE"""),"Ilhéus, BA")</f>
        <v>Ilhéus, BA</v>
      </c>
      <c r="D312" s="24" t="str">
        <f>IFERROR(__xludf.DUMMYFUNCTION("""COMPUTED_VALUE"""),"Editus")</f>
        <v>Editus</v>
      </c>
      <c r="E312" s="25">
        <f>IFERROR(__xludf.DUMMYFUNCTION("""COMPUTED_VALUE"""),2004.0)</f>
        <v>2004</v>
      </c>
      <c r="F312" s="24" t="str">
        <f>IFERROR(__xludf.DUMMYFUNCTION("""COMPUTED_VALUE"""),"Educação inclusiva; Aprendizagem – Distúrbios; Educação; especial; Psicologia da aprendizagem; Genética humana")</f>
        <v>Educação inclusiva; Aprendizagem – Distúrbios; Educação; especial; Psicologia da aprendizagem; Genética humana</v>
      </c>
      <c r="G312" s="28" t="str">
        <f>IFERROR(__xludf.DUMMYFUNCTION("""COMPUTED_VALUE"""),"8574550752")</f>
        <v>8574550752</v>
      </c>
      <c r="H312" s="29" t="str">
        <f>IFERROR(__xludf.DUMMYFUNCTION("""COMPUTED_VALUE"""),"http://www.uesc.br/editora/livrosdigitais2017/diversidade_escola_2ed.pdf")</f>
        <v>http://www.uesc.br/editora/livrosdigitais2017/diversidade_escola_2ed.pdf</v>
      </c>
      <c r="I312" s="24" t="str">
        <f>IFERROR(__xludf.DUMMYFUNCTION("""COMPUTED_VALUE"""),"Ciências Humanas")</f>
        <v>Ciências Humanas</v>
      </c>
    </row>
    <row r="313">
      <c r="A313" s="24" t="str">
        <f>IFERROR(__xludf.DUMMYFUNCTION("""COMPUTED_VALUE"""),"Do cheiro da terra aos fios da memória")</f>
        <v>Do cheiro da terra aos fios da memória</v>
      </c>
      <c r="B313" s="24" t="str">
        <f>IFERROR(__xludf.DUMMYFUNCTION("""COMPUTED_VALUE"""),"Juliane Ferreira Vieira, Áurea Rita de Ávila LimaFerreira (organizadoras")</f>
        <v>Juliane Ferreira Vieira, Áurea Rita de Ávila LimaFerreira (organizadoras</v>
      </c>
      <c r="C313" s="24" t="str">
        <f>IFERROR(__xludf.DUMMYFUNCTION("""COMPUTED_VALUE"""),"Dourados, MS")</f>
        <v>Dourados, MS</v>
      </c>
      <c r="D313" s="24" t="str">
        <f>IFERROR(__xludf.DUMMYFUNCTION("""COMPUTED_VALUE"""),"Ed. UFGD")</f>
        <v>Ed. UFGD</v>
      </c>
      <c r="E313" s="25">
        <f>IFERROR(__xludf.DUMMYFUNCTION("""COMPUTED_VALUE"""),2013.0)</f>
        <v>2013</v>
      </c>
      <c r="F313" s="24" t="str">
        <f>IFERROR(__xludf.DUMMYFUNCTION("""COMPUTED_VALUE"""),"Estudantes universitários – Dourados; Análise do discurso")</f>
        <v>Estudantes universitários – Dourados; Análise do discurso</v>
      </c>
      <c r="G313" s="28" t="str">
        <f>IFERROR(__xludf.DUMMYFUNCTION("""COMPUTED_VALUE"""),"9788581470344")</f>
        <v>9788581470344</v>
      </c>
      <c r="H313" s="29" t="str">
        <f>IFERROR(__xludf.DUMMYFUNCTION("""COMPUTED_VALUE"""),"http://omp.ufgd.edu.br/omp/index.php/livrosabertos/catalog/view/84/91/337-1")</f>
        <v>http://omp.ufgd.edu.br/omp/index.php/livrosabertos/catalog/view/84/91/337-1</v>
      </c>
      <c r="I313" s="24" t="str">
        <f>IFERROR(__xludf.DUMMYFUNCTION("""COMPUTED_VALUE"""),"Ciências Humanas")</f>
        <v>Ciências Humanas</v>
      </c>
    </row>
    <row r="314">
      <c r="A314" s="24" t="str">
        <f>IFERROR(__xludf.DUMMYFUNCTION("""COMPUTED_VALUE"""),"Do desenvolvimento à sustentabilidade: políticas socioambientais e experiências comunitárias (disponível temporariamente)")</f>
        <v>Do desenvolvimento à sustentabilidade: políticas socioambientais e experiências comunitárias (disponível temporariamente)</v>
      </c>
      <c r="B314" s="24" t="str">
        <f>IFERROR(__xludf.DUMMYFUNCTION("""COMPUTED_VALUE"""),"Alicia Ferreira Gonçalves, Maristela Oliveira de Andrade, Oliverio Hernández Romero (organizadores).")</f>
        <v>Alicia Ferreira Gonçalves, Maristela Oliveira de Andrade, Oliverio Hernández Romero (organizadores).</v>
      </c>
      <c r="C314" s="24" t="str">
        <f>IFERROR(__xludf.DUMMYFUNCTION("""COMPUTED_VALUE"""),"João Pessoa")</f>
        <v>João Pessoa</v>
      </c>
      <c r="D314" s="24" t="str">
        <f>IFERROR(__xludf.DUMMYFUNCTION("""COMPUTED_VALUE"""),"Editora da UFPB")</f>
        <v>Editora da UFPB</v>
      </c>
      <c r="E314" s="25">
        <f>IFERROR(__xludf.DUMMYFUNCTION("""COMPUTED_VALUE"""),2019.0)</f>
        <v>2019</v>
      </c>
      <c r="F314" s="24" t="str">
        <f>IFERROR(__xludf.DUMMYFUNCTION("""COMPUTED_VALUE"""),"Desenvolvimento Sustentável; Desenvolvimento Socioambiental; Educação ambiental")</f>
        <v>Desenvolvimento Sustentável; Desenvolvimento Socioambiental; Educação ambiental</v>
      </c>
      <c r="G314" s="28" t="str">
        <f>IFERROR(__xludf.DUMMYFUNCTION("""COMPUTED_VALUE"""),"9788523714062")</f>
        <v>9788523714062</v>
      </c>
      <c r="H314" s="29" t="str">
        <f>IFERROR(__xludf.DUMMYFUNCTION("""COMPUTED_VALUE"""),"http://www.editora.ufpb.br/sistema/press5/index.php/UFPB/catalog/book/342")</f>
        <v>http://www.editora.ufpb.br/sistema/press5/index.php/UFPB/catalog/book/342</v>
      </c>
      <c r="I314" s="24" t="str">
        <f>IFERROR(__xludf.DUMMYFUNCTION("""COMPUTED_VALUE"""),"Ciências Humanas")</f>
        <v>Ciências Humanas</v>
      </c>
    </row>
    <row r="315">
      <c r="A315" s="24" t="str">
        <f>IFERROR(__xludf.DUMMYFUNCTION("""COMPUTED_VALUE"""),"Do infinito, do mínimo e da inquisição em Giordano Bruno")</f>
        <v>Do infinito, do mínimo e da inquisição em Giordano Bruno</v>
      </c>
      <c r="B315" s="24" t="str">
        <f>IFERROR(__xludf.DUMMYFUNCTION("""COMPUTED_VALUE"""),"Marcos Cesar Danhoni Neves")</f>
        <v>Marcos Cesar Danhoni Neves</v>
      </c>
      <c r="C315" s="24" t="str">
        <f>IFERROR(__xludf.DUMMYFUNCTION("""COMPUTED_VALUE"""),"Ilhéus, BA")</f>
        <v>Ilhéus, BA</v>
      </c>
      <c r="D315" s="24" t="str">
        <f>IFERROR(__xludf.DUMMYFUNCTION("""COMPUTED_VALUE"""),"Editus")</f>
        <v>Editus</v>
      </c>
      <c r="E315" s="25">
        <f>IFERROR(__xludf.DUMMYFUNCTION("""COMPUTED_VALUE"""),2004.0)</f>
        <v>2004</v>
      </c>
      <c r="F315" s="24" t="str">
        <f>IFERROR(__xludf.DUMMYFUNCTION("""COMPUTED_VALUE"""),"Filosofia italiana; Bruno, Giordano, 1548-1600 - Filosofia; Filosofia - Séc. XVI; Inquisição - Itália")</f>
        <v>Filosofia italiana; Bruno, Giordano, 1548-1600 - Filosofia; Filosofia - Séc. XVI; Inquisição - Itália</v>
      </c>
      <c r="G315" s="28" t="str">
        <f>IFERROR(__xludf.DUMMYFUNCTION("""COMPUTED_VALUE"""),"8574550868")</f>
        <v>8574550868</v>
      </c>
      <c r="H315" s="29" t="str">
        <f>IFERROR(__xludf.DUMMYFUNCTION("""COMPUTED_VALUE"""),"http://www.uesc.br/editora/livrosdigitais2015/do_infinito_do_minimo.pdf")</f>
        <v>http://www.uesc.br/editora/livrosdigitais2015/do_infinito_do_minimo.pdf</v>
      </c>
      <c r="I315" s="24" t="str">
        <f>IFERROR(__xludf.DUMMYFUNCTION("""COMPUTED_VALUE"""),"Ciências Humanas")</f>
        <v>Ciências Humanas</v>
      </c>
    </row>
    <row r="316">
      <c r="A316" s="24" t="str">
        <f>IFERROR(__xludf.DUMMYFUNCTION("""COMPUTED_VALUE"""),"Do mingau de fubá ao cachorro quente: reflexões sobre hábitos alimentares regionais no Programa Nacional de Alimentação Escola")</f>
        <v>Do mingau de fubá ao cachorro quente: reflexões sobre hábitos alimentares regionais no Programa Nacional de Alimentação Escola</v>
      </c>
      <c r="B316" s="24" t="str">
        <f>IFERROR(__xludf.DUMMYFUNCTION("""COMPUTED_VALUE"""),"Janaína Braga de Paiva")</f>
        <v>Janaína Braga de Paiva</v>
      </c>
      <c r="C316" s="24" t="str">
        <f>IFERROR(__xludf.DUMMYFUNCTION("""COMPUTED_VALUE"""),"Salvador")</f>
        <v>Salvador</v>
      </c>
      <c r="D316" s="24" t="str">
        <f>IFERROR(__xludf.DUMMYFUNCTION("""COMPUTED_VALUE"""),"EDUFBA")</f>
        <v>EDUFBA</v>
      </c>
      <c r="E316" s="25">
        <f>IFERROR(__xludf.DUMMYFUNCTION("""COMPUTED_VALUE"""),2013.0)</f>
        <v>2013</v>
      </c>
      <c r="F316" s="24" t="str">
        <f>IFERROR(__xludf.DUMMYFUNCTION("""COMPUTED_VALUE"""),"Programa Nacional de Alimentação Escolar; Merenda escolar; Hábitos alimentares; Hábitos de saúde; Culinária brasileira")</f>
        <v>Programa Nacional de Alimentação Escolar; Merenda escolar; Hábitos alimentares; Hábitos de saúde; Culinária brasileira</v>
      </c>
      <c r="G316" s="28" t="str">
        <f>IFERROR(__xludf.DUMMYFUNCTION("""COMPUTED_VALUE"""),"9788523210502")</f>
        <v>9788523210502</v>
      </c>
      <c r="H316" s="29" t="str">
        <f>IFERROR(__xludf.DUMMYFUNCTION("""COMPUTED_VALUE"""),"http://www.repositorio.ufba.br/ri/handle/ri/11324")</f>
        <v>http://www.repositorio.ufba.br/ri/handle/ri/11324</v>
      </c>
      <c r="I316" s="24" t="str">
        <f>IFERROR(__xludf.DUMMYFUNCTION("""COMPUTED_VALUE"""),"Ciências Humanas")</f>
        <v>Ciências Humanas</v>
      </c>
    </row>
    <row r="317">
      <c r="A317" s="24" t="str">
        <f>IFERROR(__xludf.DUMMYFUNCTION("""COMPUTED_VALUE"""),"Do romantismo a Nietzsche: Rupturas e transformações na filosofia do século XIX")</f>
        <v>Do romantismo a Nietzsche: Rupturas e transformações na filosofia do século XIX</v>
      </c>
      <c r="B317" s="24" t="str">
        <f>IFERROR(__xludf.DUMMYFUNCTION("""COMPUTED_VALUE"""),"Araldi, Clademir Luís")</f>
        <v>Araldi, Clademir Luís</v>
      </c>
      <c r="C317" s="24" t="str">
        <f>IFERROR(__xludf.DUMMYFUNCTION("""COMPUTED_VALUE"""),"Pelotas")</f>
        <v>Pelotas</v>
      </c>
      <c r="D317" s="24" t="str">
        <f>IFERROR(__xludf.DUMMYFUNCTION("""COMPUTED_VALUE"""),"UFPel")</f>
        <v>UFPel</v>
      </c>
      <c r="E317" s="25">
        <f>IFERROR(__xludf.DUMMYFUNCTION("""COMPUTED_VALUE"""),2017.0)</f>
        <v>2017</v>
      </c>
      <c r="F317" s="24" t="str">
        <f>IFERROR(__xludf.DUMMYFUNCTION("""COMPUTED_VALUE"""),"Nietzsche; Romantismo; Filosofia; Século XIX")</f>
        <v>Nietzsche; Romantismo; Filosofia; Século XIX</v>
      </c>
      <c r="G317" s="28" t="str">
        <f>IFERROR(__xludf.DUMMYFUNCTION("""COMPUTED_VALUE"""),"9788567332499")</f>
        <v>9788567332499</v>
      </c>
      <c r="H317" s="29" t="str">
        <f>IFERROR(__xludf.DUMMYFUNCTION("""COMPUTED_VALUE"""),"http://repositorio.ufpel.edu.br:8080/bitstream/prefix/3738/1/Do%20romantismo%20a%20Nietzsche.pdf")</f>
        <v>http://repositorio.ufpel.edu.br:8080/bitstream/prefix/3738/1/Do%20romantismo%20a%20Nietzsche.pdf</v>
      </c>
      <c r="I317" s="24" t="str">
        <f>IFERROR(__xludf.DUMMYFUNCTION("""COMPUTED_VALUE"""),"Ciências Humanas")</f>
        <v>Ciências Humanas</v>
      </c>
    </row>
    <row r="318">
      <c r="A318" s="24" t="str">
        <f>IFERROR(__xludf.DUMMYFUNCTION("""COMPUTED_VALUE"""),"Do silêncio à palavra: histórias e memórias de mulheres na pers-pectiva de gênero no meio rural do noroeste do Estado do Rio Grande do Sul.")</f>
        <v>Do silêncio à palavra: histórias e memórias de mulheres na pers-pectiva de gênero no meio rural do noroeste do Estado do Rio Grande do Sul.</v>
      </c>
      <c r="B318" s="24" t="str">
        <f>IFERROR(__xludf.DUMMYFUNCTION("""COMPUTED_VALUE"""),"Losandro Antonio Tedeschi")</f>
        <v>Losandro Antonio Tedeschi</v>
      </c>
      <c r="C318" s="24" t="str">
        <f>IFERROR(__xludf.DUMMYFUNCTION("""COMPUTED_VALUE"""),"Dourados, MS")</f>
        <v>Dourados, MS</v>
      </c>
      <c r="D318" s="24" t="str">
        <f>IFERROR(__xludf.DUMMYFUNCTION("""COMPUTED_VALUE"""),"Ed. UFGD")</f>
        <v>Ed. UFGD</v>
      </c>
      <c r="E318" s="25">
        <f>IFERROR(__xludf.DUMMYFUNCTION("""COMPUTED_VALUE"""),2014.0)</f>
        <v>2014</v>
      </c>
      <c r="F318" s="24" t="str">
        <f>IFERROR(__xludf.DUMMYFUNCTION("""COMPUTED_VALUE"""),"Direitos das mulheres; História das mulheres; Trabalha-doras rurais – Rio Grande do Sul")</f>
        <v>Direitos das mulheres; História das mulheres; Trabalha-doras rurais – Rio Grande do Sul</v>
      </c>
      <c r="G318" s="28" t="str">
        <f>IFERROR(__xludf.DUMMYFUNCTION("""COMPUTED_VALUE"""),"9788581470825")</f>
        <v>9788581470825</v>
      </c>
      <c r="H318" s="29" t="str">
        <f>IFERROR(__xludf.DUMMYFUNCTION("""COMPUTED_VALUE"""),"http://omp.ufgd.edu.br/omp/index.php/livrosabertos/catalog/view/85/92/345-1")</f>
        <v>http://omp.ufgd.edu.br/omp/index.php/livrosabertos/catalog/view/85/92/345-1</v>
      </c>
      <c r="I318" s="24" t="str">
        <f>IFERROR(__xludf.DUMMYFUNCTION("""COMPUTED_VALUE"""),"Ciências Humanas")</f>
        <v>Ciências Humanas</v>
      </c>
    </row>
    <row r="319">
      <c r="A319" s="24" t="str">
        <f>IFERROR(__xludf.DUMMYFUNCTION("""COMPUTED_VALUE"""),"Do terreiro à escola: diversidade religiosa e discriminação na Ilha de Mosqueiro em Belém do Pará ")</f>
        <v>Do terreiro à escola: diversidade religiosa e discriminação na Ilha de Mosqueiro em Belém do Pará </v>
      </c>
      <c r="B319" s="24" t="str">
        <f>IFERROR(__xludf.DUMMYFUNCTION("""COMPUTED_VALUE"""),"Luciana Martins Amoras; Denise de Sousa; Simões Rodrigues. ")</f>
        <v>Luciana Martins Amoras; Denise de Sousa; Simões Rodrigues. </v>
      </c>
      <c r="C319" s="24" t="str">
        <f>IFERROR(__xludf.DUMMYFUNCTION("""COMPUTED_VALUE"""),"Belém")</f>
        <v>Belém</v>
      </c>
      <c r="D319" s="24" t="str">
        <f>IFERROR(__xludf.DUMMYFUNCTION("""COMPUTED_VALUE"""),"UEPA")</f>
        <v>UEPA</v>
      </c>
      <c r="E319" s="25">
        <f>IFERROR(__xludf.DUMMYFUNCTION("""COMPUTED_VALUE"""),2020.0)</f>
        <v>2020</v>
      </c>
      <c r="F319" s="24" t="str">
        <f>IFERROR(__xludf.DUMMYFUNCTION("""COMPUTED_VALUE"""),"Religiões afro-brasileiras; Preconceito - Escola; Intolerância religiosa; Diversidade religiosa")</f>
        <v>Religiões afro-brasileiras; Preconceito - Escola; Intolerância religiosa; Diversidade religiosa</v>
      </c>
      <c r="G319" s="28" t="str">
        <f>IFERROR(__xludf.DUMMYFUNCTION("""COMPUTED_VALUE"""),"9786588106013")</f>
        <v>9786588106013</v>
      </c>
      <c r="H319" s="29" t="str">
        <f>IFERROR(__xludf.DUMMYFUNCTION("""COMPUTED_VALUE"""),"https://paginas.uepa.br/eduepa/wp-content/uploads/2020/07/terreiro_escola.pdf")</f>
        <v>https://paginas.uepa.br/eduepa/wp-content/uploads/2020/07/terreiro_escola.pdf</v>
      </c>
      <c r="I319" s="24" t="str">
        <f>IFERROR(__xludf.DUMMYFUNCTION("""COMPUTED_VALUE"""),"Ciências Humanas")</f>
        <v>Ciências Humanas</v>
      </c>
    </row>
    <row r="320">
      <c r="A320" s="24" t="str">
        <f>IFERROR(__xludf.DUMMYFUNCTION("""COMPUTED_VALUE"""),"Docência e formação universitária no Brasil: desaios e encaminhamentos.")</f>
        <v>Docência e formação universitária no Brasil: desaios e encaminhamentos.</v>
      </c>
      <c r="B320" s="24" t="str">
        <f>IFERROR(__xludf.DUMMYFUNCTION("""COMPUTED_VALUE"""),"Paulo Gomes Lima (org.) ")</f>
        <v>Paulo Gomes Lima (org.) </v>
      </c>
      <c r="C320" s="24" t="str">
        <f>IFERROR(__xludf.DUMMYFUNCTION("""COMPUTED_VALUE"""),"Dourados, MS")</f>
        <v>Dourados, MS</v>
      </c>
      <c r="D320" s="24" t="str">
        <f>IFERROR(__xludf.DUMMYFUNCTION("""COMPUTED_VALUE"""),"Ed. UFGD")</f>
        <v>Ed. UFGD</v>
      </c>
      <c r="E320" s="25">
        <f>IFERROR(__xludf.DUMMYFUNCTION("""COMPUTED_VALUE"""),2016.0)</f>
        <v>2016</v>
      </c>
      <c r="F320" s="24" t="str">
        <f>IFERROR(__xludf.DUMMYFUNCTION("""COMPUTED_VALUE"""),"Docência; Pesquisa em educação; Formação de professores")</f>
        <v>Docência; Pesquisa em educação; Formação de professores</v>
      </c>
      <c r="G320" s="28" t="str">
        <f>IFERROR(__xludf.DUMMYFUNCTION("""COMPUTED_VALUE"""),"9788581471259")</f>
        <v>9788581471259</v>
      </c>
      <c r="H320" s="29" t="str">
        <f>IFERROR(__xludf.DUMMYFUNCTION("""COMPUTED_VALUE"""),"http://omp.ufgd.edu.br/omp/index.php/livrosabertos/catalog/view/247/243/529-1")</f>
        <v>http://omp.ufgd.edu.br/omp/index.php/livrosabertos/catalog/view/247/243/529-1</v>
      </c>
      <c r="I320" s="24" t="str">
        <f>IFERROR(__xludf.DUMMYFUNCTION("""COMPUTED_VALUE"""),"Ciências Humanas")</f>
        <v>Ciências Humanas</v>
      </c>
    </row>
    <row r="321">
      <c r="A321" s="24" t="str">
        <f>IFERROR(__xludf.DUMMYFUNCTION("""COMPUTED_VALUE"""),"Docência no ensino superior: reflexões e relatos de experiências")</f>
        <v>Docência no ensino superior: reflexões e relatos de experiências</v>
      </c>
      <c r="B321" s="24" t="str">
        <f>IFERROR(__xludf.DUMMYFUNCTION("""COMPUTED_VALUE"""),"Adriana Barroso de Azevedo; Roseli Fischmann (org.)")</f>
        <v>Adriana Barroso de Azevedo; Roseli Fischmann (org.)</v>
      </c>
      <c r="C321" s="24" t="str">
        <f>IFERROR(__xludf.DUMMYFUNCTION("""COMPUTED_VALUE"""),"São Bernardo do Campo, SP")</f>
        <v>São Bernardo do Campo, SP</v>
      </c>
      <c r="D321" s="24" t="str">
        <f>IFERROR(__xludf.DUMMYFUNCTION("""COMPUTED_VALUE"""),"Editora Metodista")</f>
        <v>Editora Metodista</v>
      </c>
      <c r="E321" s="25">
        <f>IFERROR(__xludf.DUMMYFUNCTION("""COMPUTED_VALUE"""),2015.0)</f>
        <v>2015</v>
      </c>
      <c r="F321" s="24" t="str">
        <f>IFERROR(__xludf.DUMMYFUNCTION("""COMPUTED_VALUE"""),"Educação. Ensino superior. Professores universitários. Formação profissional")</f>
        <v>Educação. Ensino superior. Professores universitários. Formação profissional</v>
      </c>
      <c r="G321" s="28" t="str">
        <f>IFERROR(__xludf.DUMMYFUNCTION("""COMPUTED_VALUE"""),"9788578143169")</f>
        <v>9788578143169</v>
      </c>
      <c r="H321" s="29" t="str">
        <f>IFERROR(__xludf.DUMMYFUNCTION("""COMPUTED_VALUE"""),"http://editora.metodista.br/livros-gratis/Docencia%20no%20Ensino.pdf/at_download/file")</f>
        <v>http://editora.metodista.br/livros-gratis/Docencia%20no%20Ensino.pdf/at_download/file</v>
      </c>
      <c r="I321" s="24" t="str">
        <f>IFERROR(__xludf.DUMMYFUNCTION("""COMPUTED_VALUE"""),"Ciências Humanas")</f>
        <v>Ciências Humanas</v>
      </c>
    </row>
    <row r="322">
      <c r="A322" s="24" t="str">
        <f>IFERROR(__xludf.DUMMYFUNCTION("""COMPUTED_VALUE"""),"Docência, diversidade e inclusão")</f>
        <v>Docência, diversidade e inclusão</v>
      </c>
      <c r="B322" s="24" t="str">
        <f>IFERROR(__xludf.DUMMYFUNCTION("""COMPUTED_VALUE"""),"Lucélia Tavares; Guimarães, Maria José de Jesus Alves Cordeiro; organizadoras. ")</f>
        <v>Lucélia Tavares; Guimarães, Maria José de Jesus Alves Cordeiro; organizadoras. </v>
      </c>
      <c r="C322" s="24" t="str">
        <f>IFERROR(__xludf.DUMMYFUNCTION("""COMPUTED_VALUE"""),"Dourados, MS")</f>
        <v>Dourados, MS</v>
      </c>
      <c r="D322" s="24" t="str">
        <f>IFERROR(__xludf.DUMMYFUNCTION("""COMPUTED_VALUE"""),"Editora UEMS")</f>
        <v>Editora UEMS</v>
      </c>
      <c r="E322" s="25">
        <f>IFERROR(__xludf.DUMMYFUNCTION("""COMPUTED_VALUE"""),2020.0)</f>
        <v>2020</v>
      </c>
      <c r="F322" s="24" t="str">
        <f>IFERROR(__xludf.DUMMYFUNCTION("""COMPUTED_VALUE"""),"Educação inclusiva; Mulheres na docência; Gênero")</f>
        <v>Educação inclusiva; Mulheres na docência; Gênero</v>
      </c>
      <c r="G322" s="28" t="str">
        <f>IFERROR(__xludf.DUMMYFUNCTION("""COMPUTED_VALUE"""),"9786586308013")</f>
        <v>9786586308013</v>
      </c>
      <c r="H322" s="29" t="str">
        <f>IFERROR(__xludf.DUMMYFUNCTION("""COMPUTED_VALUE"""),"http://www.uems.br/assets/uploads/editora/arquivos/2_2020-03-23_08-42-03.pdf")</f>
        <v>http://www.uems.br/assets/uploads/editora/arquivos/2_2020-03-23_08-42-03.pdf</v>
      </c>
      <c r="I322" s="24" t="str">
        <f>IFERROR(__xludf.DUMMYFUNCTION("""COMPUTED_VALUE"""),"Ciências Humanas")</f>
        <v>Ciências Humanas</v>
      </c>
    </row>
    <row r="323">
      <c r="A323" s="24" t="str">
        <f>IFERROR(__xludf.DUMMYFUNCTION("""COMPUTED_VALUE"""),"Docência: interdisciplinaridades e letramento")</f>
        <v>Docência: interdisciplinaridades e letramento</v>
      </c>
      <c r="B323" s="24" t="str">
        <f>IFERROR(__xludf.DUMMYFUNCTION("""COMPUTED_VALUE"""),"Hélvio Frank de Oliveira (org.)")</f>
        <v>Hélvio Frank de Oliveira (org.)</v>
      </c>
      <c r="C323" s="24" t="str">
        <f>IFERROR(__xludf.DUMMYFUNCTION("""COMPUTED_VALUE"""),"Anápolis")</f>
        <v>Anápolis</v>
      </c>
      <c r="D323" s="24" t="str">
        <f>IFERROR(__xludf.DUMMYFUNCTION("""COMPUTED_VALUE"""),"UEG")</f>
        <v>UEG</v>
      </c>
      <c r="E323" s="25">
        <f>IFERROR(__xludf.DUMMYFUNCTION("""COMPUTED_VALUE"""),2018.0)</f>
        <v>2018</v>
      </c>
      <c r="F323" s="24" t="str">
        <f>IFERROR(__xludf.DUMMYFUNCTION("""COMPUTED_VALUE"""),"Docência; Letramentos; Interdisciplinaridade")</f>
        <v>Docência; Letramentos; Interdisciplinaridade</v>
      </c>
      <c r="G323" s="28" t="str">
        <f>IFERROR(__xludf.DUMMYFUNCTION("""COMPUTED_VALUE"""),"9788555820458")</f>
        <v>9788555820458</v>
      </c>
      <c r="H323" s="29" t="str">
        <f>IFERROR(__xludf.DUMMYFUNCTION("""COMPUTED_VALUE"""),"http://cdn.ueg.edu.br/source/editora_ueg/conteudo_compartilhado/11006/ebook_docencia_interdisciplinaridades_e_letramentos_2018.pdf")</f>
        <v>http://cdn.ueg.edu.br/source/editora_ueg/conteudo_compartilhado/11006/ebook_docencia_interdisciplinaridades_e_letramentos_2018.pdf</v>
      </c>
      <c r="I323" s="24" t="str">
        <f>IFERROR(__xludf.DUMMYFUNCTION("""COMPUTED_VALUE"""),"Ciências Humanas")</f>
        <v>Ciências Humanas</v>
      </c>
    </row>
    <row r="324">
      <c r="A324" s="24" t="str">
        <f>IFERROR(__xludf.DUMMYFUNCTION("""COMPUTED_VALUE"""),"DOF (Departamento de Operações de Fronteira): um estudo de integração de policiais civil e militar")</f>
        <v>DOF (Departamento de Operações de Fronteira): um estudo de integração de policiais civil e militar</v>
      </c>
      <c r="B324" s="24" t="str">
        <f>IFERROR(__xludf.DUMMYFUNCTION("""COMPUTED_VALUE"""),"André Martins Barbosa")</f>
        <v>André Martins Barbosa</v>
      </c>
      <c r="C324" s="24" t="str">
        <f>IFERROR(__xludf.DUMMYFUNCTION("""COMPUTED_VALUE"""),"Dourados, MS")</f>
        <v>Dourados, MS</v>
      </c>
      <c r="D324" s="24" t="str">
        <f>IFERROR(__xludf.DUMMYFUNCTION("""COMPUTED_VALUE"""),"Editora UEMS")</f>
        <v>Editora UEMS</v>
      </c>
      <c r="E324" s="25">
        <f>IFERROR(__xludf.DUMMYFUNCTION("""COMPUTED_VALUE"""),2014.0)</f>
        <v>2014</v>
      </c>
      <c r="F324" s="24" t="str">
        <f>IFERROR(__xludf.DUMMYFUNCTION("""COMPUTED_VALUE"""),"Fronteiras - Brasil; Departamento de Operações de Fronteiras (DOF) - Brasil; Polícia - Aspectos sociais; Policiais civis - Mato Grosso do Sul; Policiais militares - Mato Grosso do Sul; Políticas públicas; Segurança; Trabalho integrado")</f>
        <v>Fronteiras - Brasil; Departamento de Operações de Fronteiras (DOF) - Brasil; Polícia - Aspectos sociais; Policiais civis - Mato Grosso do Sul; Policiais militares - Mato Grosso do Sul; Políticas públicas; Segurança; Trabalho integrado</v>
      </c>
      <c r="G324" s="28" t="str">
        <f>IFERROR(__xludf.DUMMYFUNCTION("""COMPUTED_VALUE"""),"9788599880739")</f>
        <v>9788599880739</v>
      </c>
      <c r="H324" s="29" t="str">
        <f>IFERROR(__xludf.DUMMYFUNCTION("""COMPUTED_VALUE"""),"http://www.uems.br/assets/uploads/editora/arquivos/2_2016-03-10_17-13-35.pdf")</f>
        <v>http://www.uems.br/assets/uploads/editora/arquivos/2_2016-03-10_17-13-35.pdf</v>
      </c>
      <c r="I324" s="24" t="str">
        <f>IFERROR(__xludf.DUMMYFUNCTION("""COMPUTED_VALUE"""),"Ciências Humanas")</f>
        <v>Ciências Humanas</v>
      </c>
    </row>
    <row r="325">
      <c r="A325" s="24" t="str">
        <f>IFERROR(__xludf.DUMMYFUNCTION("""COMPUTED_VALUE"""),"Dourados e a democratização da terra: povoamento da Colônia Agrícola Municipal de Dourados (1946-1956)")</f>
        <v>Dourados e a democratização da terra: povoamento da Colônia Agrícola Municipal de Dourados (1946-1956)</v>
      </c>
      <c r="B325" s="24" t="str">
        <f>IFERROR(__xludf.DUMMYFUNCTION("""COMPUTED_VALUE"""),"Maria Aparecida Ferreira Carli")</f>
        <v>Maria Aparecida Ferreira Carli</v>
      </c>
      <c r="C325" s="24" t="str">
        <f>IFERROR(__xludf.DUMMYFUNCTION("""COMPUTED_VALUE"""),"Dourados, MS")</f>
        <v>Dourados, MS</v>
      </c>
      <c r="D325" s="24" t="str">
        <f>IFERROR(__xludf.DUMMYFUNCTION("""COMPUTED_VALUE"""),"Editora da UFGD")</f>
        <v>Editora da UFGD</v>
      </c>
      <c r="E325" s="25">
        <f>IFERROR(__xludf.DUMMYFUNCTION("""COMPUTED_VALUE"""),2008.0)</f>
        <v>2008</v>
      </c>
      <c r="F325" s="24" t="str">
        <f>IFERROR(__xludf.DUMMYFUNCTION("""COMPUTED_VALUE"""),"Colônia Agrícola de Dourados - História; Dourados, MS - História")</f>
        <v>Colônia Agrícola de Dourados - História; Dourados, MS - História</v>
      </c>
      <c r="G325" s="28" t="str">
        <f>IFERROR(__xludf.DUMMYFUNCTION("""COMPUTED_VALUE"""),"9788561228248")</f>
        <v>9788561228248</v>
      </c>
      <c r="H325" s="29" t="str">
        <f>IFERROR(__xludf.DUMMYFUNCTION("""COMPUTED_VALUE"""),"http://omp.ufgd.edu.br/omp/index.php/livrosabertos/catalog/view/86/93/351-1")</f>
        <v>http://omp.ufgd.edu.br/omp/index.php/livrosabertos/catalog/view/86/93/351-1</v>
      </c>
      <c r="I325" s="24" t="str">
        <f>IFERROR(__xludf.DUMMYFUNCTION("""COMPUTED_VALUE"""),"Ciências Humanas")</f>
        <v>Ciências Humanas</v>
      </c>
    </row>
    <row r="326">
      <c r="A326" s="24" t="str">
        <f>IFERROR(__xludf.DUMMYFUNCTION("""COMPUTED_VALUE"""),"Drogas e pós-modernidade – Prazer, Sofrimento, Tabu – Vol. 1")</f>
        <v>Drogas e pós-modernidade – Prazer, Sofrimento, Tabu – Vol. 1</v>
      </c>
      <c r="B326" s="24" t="str">
        <f>IFERROR(__xludf.DUMMYFUNCTION("""COMPUTED_VALUE"""),"Marcos Baptista, Marcelo Santos Cruz, Regina Matias (Orgs.)")</f>
        <v>Marcos Baptista, Marcelo Santos Cruz, Regina Matias (Orgs.)</v>
      </c>
      <c r="C326" s="24" t="str">
        <f>IFERROR(__xludf.DUMMYFUNCTION("""COMPUTED_VALUE"""),"Rio de Janeiro")</f>
        <v>Rio de Janeiro</v>
      </c>
      <c r="D326" s="24" t="str">
        <f>IFERROR(__xludf.DUMMYFUNCTION("""COMPUTED_VALUE"""),"EdUERJ")</f>
        <v>EdUERJ</v>
      </c>
      <c r="E326" s="25">
        <f>IFERROR(__xludf.DUMMYFUNCTION("""COMPUTED_VALUE"""),2003.0)</f>
        <v>2003</v>
      </c>
      <c r="F326" s="24" t="str">
        <f>IFERROR(__xludf.DUMMYFUNCTION("""COMPUTED_VALUE"""),"Drogas; Abuso de drogas; Aspectos sociais;. Pós-modernidade")</f>
        <v>Drogas; Abuso de drogas; Aspectos sociais;. Pós-modernidade</v>
      </c>
      <c r="G326" s="28" t="str">
        <f>IFERROR(__xludf.DUMMYFUNCTION("""COMPUTED_VALUE"""),"8575110438")</f>
        <v>8575110438</v>
      </c>
      <c r="H326" s="29" t="str">
        <f>IFERROR(__xludf.DUMMYFUNCTION("""COMPUTED_VALUE"""),"https://www.eduerj.com/eng/?product=drogas-e-pos-modernidade-prazer-sofrimento-tabu-vol-1")</f>
        <v>https://www.eduerj.com/eng/?product=drogas-e-pos-modernidade-prazer-sofrimento-tabu-vol-1</v>
      </c>
      <c r="I326" s="24" t="str">
        <f>IFERROR(__xludf.DUMMYFUNCTION("""COMPUTED_VALUE"""),"Ciências Humanas")</f>
        <v>Ciências Humanas</v>
      </c>
    </row>
    <row r="327">
      <c r="A327" s="24" t="str">
        <f>IFERROR(__xludf.DUMMYFUNCTION("""COMPUTED_VALUE"""),"Drogas e pós-modernidade- Faces de um tema proscrito – Vol. 2")</f>
        <v>Drogas e pós-modernidade- Faces de um tema proscrito – Vol. 2</v>
      </c>
      <c r="B327" s="24" t="str">
        <f>IFERROR(__xludf.DUMMYFUNCTION("""COMPUTED_VALUE"""),"Marcos Baptista, Marcelo Santos Cruz, Regina Matias (Orgs.)")</f>
        <v>Marcos Baptista, Marcelo Santos Cruz, Regina Matias (Orgs.)</v>
      </c>
      <c r="C327" s="24" t="str">
        <f>IFERROR(__xludf.DUMMYFUNCTION("""COMPUTED_VALUE"""),"Rio de Janeiro")</f>
        <v>Rio de Janeiro</v>
      </c>
      <c r="D327" s="24" t="str">
        <f>IFERROR(__xludf.DUMMYFUNCTION("""COMPUTED_VALUE"""),"EdUERJ")</f>
        <v>EdUERJ</v>
      </c>
      <c r="E327" s="25">
        <f>IFERROR(__xludf.DUMMYFUNCTION("""COMPUTED_VALUE"""),2003.0)</f>
        <v>2003</v>
      </c>
      <c r="F327" s="24" t="str">
        <f>IFERROR(__xludf.DUMMYFUNCTION("""COMPUTED_VALUE"""),"Drogas; Abuso de drogas; Aspectos sociais;. Pós-modernidade")</f>
        <v>Drogas; Abuso de drogas; Aspectos sociais;. Pós-modernidade</v>
      </c>
      <c r="G327" s="28" t="str">
        <f>IFERROR(__xludf.DUMMYFUNCTION("""COMPUTED_VALUE"""),"857511042x")</f>
        <v>857511042x</v>
      </c>
      <c r="H327" s="29" t="str">
        <f>IFERROR(__xludf.DUMMYFUNCTION("""COMPUTED_VALUE"""),"https://www.eduerj.com/eng/?product=drogas-e-pos-modernidade-faces-de-um-tema-proscrito-vol-2")</f>
        <v>https://www.eduerj.com/eng/?product=drogas-e-pos-modernidade-faces-de-um-tema-proscrito-vol-2</v>
      </c>
      <c r="I327" s="24" t="str">
        <f>IFERROR(__xludf.DUMMYFUNCTION("""COMPUTED_VALUE"""),"Ciências Humanas")</f>
        <v>Ciências Humanas</v>
      </c>
    </row>
    <row r="328">
      <c r="A328" s="24" t="str">
        <f>IFERROR(__xludf.DUMMYFUNCTION("""COMPUTED_VALUE"""),"Duas conferências")</f>
        <v>Duas conferências</v>
      </c>
      <c r="B328" s="24" t="str">
        <f>IFERROR(__xludf.DUMMYFUNCTION("""COMPUTED_VALUE"""),"Gilberto Velho, Otávio Velho")</f>
        <v>Gilberto Velho, Otávio Velho</v>
      </c>
      <c r="C328" s="24" t="str">
        <f>IFERROR(__xludf.DUMMYFUNCTION("""COMPUTED_VALUE"""),"Rio de Janeiro")</f>
        <v>Rio de Janeiro</v>
      </c>
      <c r="D328" s="24" t="str">
        <f>IFERROR(__xludf.DUMMYFUNCTION("""COMPUTED_VALUE"""),"Editora UFRJ")</f>
        <v>Editora UFRJ</v>
      </c>
      <c r="E328" s="25">
        <f>IFERROR(__xludf.DUMMYFUNCTION("""COMPUTED_VALUE"""),1992.0)</f>
        <v>1992</v>
      </c>
      <c r="F328" s="24" t="str">
        <f>IFERROR(__xludf.DUMMYFUNCTION("""COMPUTED_VALUE"""),"Atropologia; Antropologia social; Sociedade")</f>
        <v>Atropologia; Antropologia social; Sociedade</v>
      </c>
      <c r="G328" s="26"/>
      <c r="H328" s="29" t="str">
        <f>IFERROR(__xludf.DUMMYFUNCTION("""COMPUTED_VALUE"""),"http://www.editora.ufrj.br/DynamicItems/livrosabertos-1/DuasConferencias_compressed.pdf")</f>
        <v>http://www.editora.ufrj.br/DynamicItems/livrosabertos-1/DuasConferencias_compressed.pdf</v>
      </c>
      <c r="I328" s="24" t="str">
        <f>IFERROR(__xludf.DUMMYFUNCTION("""COMPUTED_VALUE"""),"Ciências Humanas")</f>
        <v>Ciências Humanas</v>
      </c>
    </row>
    <row r="329">
      <c r="A329" s="24" t="str">
        <f>IFERROR(__xludf.DUMMYFUNCTION("""COMPUTED_VALUE"""),"E21 Educação ambiental, sustentabilidade e desenvolvimento sustentável")</f>
        <v>E21 Educação ambiental, sustentabilidade e desenvolvimento sustentável</v>
      </c>
      <c r="B329" s="24" t="str">
        <f>IFERROR(__xludf.DUMMYFUNCTION("""COMPUTED_VALUE"""),"José Rodrigues de Faria Filho, Patricia Almeida Ashley e Mônica Marella Corrêa (org.)")</f>
        <v>José Rodrigues de Faria Filho, Patricia Almeida Ashley e Mônica Marella Corrêa (org.)</v>
      </c>
      <c r="C329" s="24" t="str">
        <f>IFERROR(__xludf.DUMMYFUNCTION("""COMPUTED_VALUE"""),"Niterói, RJ")</f>
        <v>Niterói, RJ</v>
      </c>
      <c r="D329" s="24" t="str">
        <f>IFERROR(__xludf.DUMMYFUNCTION("""COMPUTED_VALUE"""),"EDUFF")</f>
        <v>EDUFF</v>
      </c>
      <c r="E329" s="25">
        <f>IFERROR(__xludf.DUMMYFUNCTION("""COMPUTED_VALUE"""),2019.0)</f>
        <v>2019</v>
      </c>
      <c r="F329" s="24" t="str">
        <f>IFERROR(__xludf.DUMMYFUNCTION("""COMPUTED_VALUE"""),"Educação ambiental; Desenvolvimento sustentável")</f>
        <v>Educação ambiental; Desenvolvimento sustentável</v>
      </c>
      <c r="G329" s="28" t="str">
        <f>IFERROR(__xludf.DUMMYFUNCTION("""COMPUTED_VALUE"""),"9788522813582")</f>
        <v>9788522813582</v>
      </c>
      <c r="H329" s="29" t="str">
        <f>IFERROR(__xludf.DUMMYFUNCTION("""COMPUTED_VALUE"""),"https://drive.google.com/file/d/1crUocIVWwlPigHWWqOXtTvLRo-5qYcaz/view")</f>
        <v>https://drive.google.com/file/d/1crUocIVWwlPigHWWqOXtTvLRo-5qYcaz/view</v>
      </c>
      <c r="I329" s="24" t="str">
        <f>IFERROR(__xludf.DUMMYFUNCTION("""COMPUTED_VALUE"""),"Ciências Humanas")</f>
        <v>Ciências Humanas</v>
      </c>
    </row>
    <row r="330">
      <c r="A330" s="24" t="str">
        <f>IFERROR(__xludf.DUMMYFUNCTION("""COMPUTED_VALUE"""),"Educação a distância: Reflexões, práticas e formação docente")</f>
        <v>Educação a distância: Reflexões, práticas e formação docente</v>
      </c>
      <c r="B330" s="24" t="str">
        <f>IFERROR(__xludf.DUMMYFUNCTION("""COMPUTED_VALUE"""),"organizadoras Gerthrudes Hellena Cavalcante de Araújo, Jamylle Rebouças Ouverney-King, Liane Velloso Leitão")</f>
        <v>organizadoras Gerthrudes Hellena Cavalcante de Araújo, Jamylle Rebouças Ouverney-King, Liane Velloso Leitão</v>
      </c>
      <c r="C330" s="24" t="str">
        <f>IFERROR(__xludf.DUMMYFUNCTION("""COMPUTED_VALUE"""),"João Pessoa")</f>
        <v>João Pessoa</v>
      </c>
      <c r="D330" s="24" t="str">
        <f>IFERROR(__xludf.DUMMYFUNCTION("""COMPUTED_VALUE"""),"Editora IFPB")</f>
        <v>Editora IFPB</v>
      </c>
      <c r="E330" s="25">
        <f>IFERROR(__xludf.DUMMYFUNCTION("""COMPUTED_VALUE"""),2016.0)</f>
        <v>2016</v>
      </c>
      <c r="F330" s="24" t="str">
        <f>IFERROR(__xludf.DUMMYFUNCTION("""COMPUTED_VALUE"""),"Educação a distância; Formação de professores; Práticas pedagógicas; Processo de ensinoaprendizagem")</f>
        <v>Educação a distância; Formação de professores; Práticas pedagógicas; Processo de ensinoaprendizagem</v>
      </c>
      <c r="G330" s="28" t="str">
        <f>IFERROR(__xludf.DUMMYFUNCTION("""COMPUTED_VALUE"""),"9788563406811")</f>
        <v>9788563406811</v>
      </c>
      <c r="H330" s="29" t="str">
        <f>IFERROR(__xludf.DUMMYFUNCTION("""COMPUTED_VALUE"""),"http://editora.ifpb.edu.br/index.php/ifpb/catalog/book/32")</f>
        <v>http://editora.ifpb.edu.br/index.php/ifpb/catalog/book/32</v>
      </c>
      <c r="I330" s="24" t="str">
        <f>IFERROR(__xludf.DUMMYFUNCTION("""COMPUTED_VALUE"""),"Ciências Humanas")</f>
        <v>Ciências Humanas</v>
      </c>
    </row>
    <row r="331">
      <c r="A331" s="24" t="str">
        <f>IFERROR(__xludf.DUMMYFUNCTION("""COMPUTED_VALUE"""),"Educação Ambiental em Unidades de Conservação no Bioma Caatinga:")</f>
        <v>Educação Ambiental em Unidades de Conservação no Bioma Caatinga:</v>
      </c>
      <c r="B331" s="24" t="str">
        <f>IFERROR(__xludf.DUMMYFUNCTION("""COMPUTED_VALUE"""),"Francisco José Pegado Abílio, Hugo da Silva Florentino (organizadores)")</f>
        <v>Francisco José Pegado Abílio, Hugo da Silva Florentino (organizadores)</v>
      </c>
      <c r="C331" s="24" t="str">
        <f>IFERROR(__xludf.DUMMYFUNCTION("""COMPUTED_VALUE"""),"João Pessoa")</f>
        <v>João Pessoa</v>
      </c>
      <c r="D331" s="24" t="str">
        <f>IFERROR(__xludf.DUMMYFUNCTION("""COMPUTED_VALUE"""),"Editora da UFPB")</f>
        <v>Editora da UFPB</v>
      </c>
      <c r="E331" s="25">
        <f>IFERROR(__xludf.DUMMYFUNCTION("""COMPUTED_VALUE"""),2017.0)</f>
        <v>2017</v>
      </c>
      <c r="F331" s="24" t="str">
        <f>IFERROR(__xludf.DUMMYFUNCTION("""COMPUTED_VALUE"""),"Educação ambiental; Movimentos sociais; Agricultura familiar; Semiárido")</f>
        <v>Educação ambiental; Movimentos sociais; Agricultura familiar; Semiárido</v>
      </c>
      <c r="G331" s="28" t="str">
        <f>IFERROR(__xludf.DUMMYFUNCTION("""COMPUTED_VALUE"""),"9788523709891")</f>
        <v>9788523709891</v>
      </c>
      <c r="H331" s="29" t="str">
        <f>IFERROR(__xludf.DUMMYFUNCTION("""COMPUTED_VALUE"""),"http://www.editora.ufpb.br/sistema/press5/index.php/UFPB/catalog/book/486")</f>
        <v>http://www.editora.ufpb.br/sistema/press5/index.php/UFPB/catalog/book/486</v>
      </c>
      <c r="I331" s="24" t="str">
        <f>IFERROR(__xludf.DUMMYFUNCTION("""COMPUTED_VALUE"""),"Ciências Humanas")</f>
        <v>Ciências Humanas</v>
      </c>
    </row>
    <row r="332">
      <c r="A332" s="24" t="str">
        <f>IFERROR(__xludf.DUMMYFUNCTION("""COMPUTED_VALUE"""),"Educação básica: discursos e práticas político-normativas e interpretativas")</f>
        <v>Educação básica: discursos e práticas político-normativas e interpretativas</v>
      </c>
      <c r="B332" s="24" t="str">
        <f>IFERROR(__xludf.DUMMYFUNCTION("""COMPUTED_VALUE"""),"Dirce Nei Teixeira de Freitas, Nilce Aparecida da Silva Fedatto, organizadoras.")</f>
        <v>Dirce Nei Teixeira de Freitas, Nilce Aparecida da Silva Fedatto, organizadoras.</v>
      </c>
      <c r="C332" s="24" t="str">
        <f>IFERROR(__xludf.DUMMYFUNCTION("""COMPUTED_VALUE"""),"Dourados, MS")</f>
        <v>Dourados, MS</v>
      </c>
      <c r="D332" s="24" t="str">
        <f>IFERROR(__xludf.DUMMYFUNCTION("""COMPUTED_VALUE"""),"Editora da UFGD")</f>
        <v>Editora da UFGD</v>
      </c>
      <c r="E332" s="25">
        <f>IFERROR(__xludf.DUMMYFUNCTION("""COMPUTED_VALUE"""),2008.0)</f>
        <v>2008</v>
      </c>
      <c r="F332" s="24" t="str">
        <f>IFERROR(__xludf.DUMMYFUNCTION("""COMPUTED_VALUE"""),"Educação - Brasil; Educação e Estado – Brasil e Administração; Política e Educação - Brasil; Ensino fundamental – Organização")</f>
        <v>Educação - Brasil; Educação e Estado – Brasil e Administração; Política e Educação - Brasil; Ensino fundamental – Organização</v>
      </c>
      <c r="G332" s="28" t="str">
        <f>IFERROR(__xludf.DUMMYFUNCTION("""COMPUTED_VALUE"""),"9788561228118")</f>
        <v>9788561228118</v>
      </c>
      <c r="H332" s="29" t="str">
        <f>IFERROR(__xludf.DUMMYFUNCTION("""COMPUTED_VALUE"""),"http://omp.ufgd.edu.br/omp/index.php/livrosabertos/catalog/view/88/95/360-1")</f>
        <v>http://omp.ufgd.edu.br/omp/index.php/livrosabertos/catalog/view/88/95/360-1</v>
      </c>
      <c r="I332" s="24" t="str">
        <f>IFERROR(__xludf.DUMMYFUNCTION("""COMPUTED_VALUE"""),"Ciências Humanas")</f>
        <v>Ciências Humanas</v>
      </c>
    </row>
    <row r="333">
      <c r="A333" s="24" t="str">
        <f>IFERROR(__xludf.DUMMYFUNCTION("""COMPUTED_VALUE"""),"Educação brasileira: interfaces e solicitações recorrente")</f>
        <v>Educação brasileira: interfaces e solicitações recorrente</v>
      </c>
      <c r="B333" s="24" t="str">
        <f>IFERROR(__xludf.DUMMYFUNCTION("""COMPUTED_VALUE"""),"(org.) Paulo Gomes Lima, Alessandra Cristina Furtado")</f>
        <v>(org.) Paulo Gomes Lima, Alessandra Cristina Furtado</v>
      </c>
      <c r="C333" s="24" t="str">
        <f>IFERROR(__xludf.DUMMYFUNCTION("""COMPUTED_VALUE"""),"Dourados, MS")</f>
        <v>Dourados, MS</v>
      </c>
      <c r="D333" s="24" t="str">
        <f>IFERROR(__xludf.DUMMYFUNCTION("""COMPUTED_VALUE"""),"Ed. UFGD")</f>
        <v>Ed. UFGD</v>
      </c>
      <c r="E333" s="25">
        <f>IFERROR(__xludf.DUMMYFUNCTION("""COMPUTED_VALUE"""),2011.0)</f>
        <v>2011</v>
      </c>
      <c r="F333" s="24" t="str">
        <f>IFERROR(__xludf.DUMMYFUNCTION("""COMPUTED_VALUE"""),"Educação – Brasil; Política educacional; Formação de professores")</f>
        <v>Educação – Brasil; Política educacional; Formação de professores</v>
      </c>
      <c r="G333" s="28" t="str">
        <f>IFERROR(__xludf.DUMMYFUNCTION("""COMPUTED_VALUE"""),"9788561228828")</f>
        <v>9788561228828</v>
      </c>
      <c r="H333" s="29" t="str">
        <f>IFERROR(__xludf.DUMMYFUNCTION("""COMPUTED_VALUE"""),"http://omp.ufgd.edu.br/omp/index.php/livrosabertos/catalog/view/87/94/355-1")</f>
        <v>http://omp.ufgd.edu.br/omp/index.php/livrosabertos/catalog/view/87/94/355-1</v>
      </c>
      <c r="I333" s="24" t="str">
        <f>IFERROR(__xludf.DUMMYFUNCTION("""COMPUTED_VALUE"""),"Ciências Humanas")</f>
        <v>Ciências Humanas</v>
      </c>
    </row>
    <row r="334">
      <c r="A334" s="24" t="str">
        <f>IFERROR(__xludf.DUMMYFUNCTION("""COMPUTED_VALUE"""),"Educação de Jovens e Adultos (EJA) em diferentes contextos de ensino na Rede Federal de Educação Profissional, Científica e Tecnológica (RFEPCT)")</f>
        <v>Educação de Jovens e Adultos (EJA) em diferentes contextos de ensino na Rede Federal de Educação Profissional, Científica e Tecnológica (RFEPCT)</v>
      </c>
      <c r="B334" s="24" t="str">
        <f>IFERROR(__xludf.DUMMYFUNCTION("""COMPUTED_VALUE"""),"organizadores, Rony Pereira Leal, Patricia Maneschy Duarte")</f>
        <v>organizadores, Rony Pereira Leal, Patricia Maneschy Duarte</v>
      </c>
      <c r="C334" s="24" t="str">
        <f>IFERROR(__xludf.DUMMYFUNCTION("""COMPUTED_VALUE"""),"João Pessoa")</f>
        <v>João Pessoa</v>
      </c>
      <c r="D334" s="24" t="str">
        <f>IFERROR(__xludf.DUMMYFUNCTION("""COMPUTED_VALUE"""),"Editora IFPB")</f>
        <v>Editora IFPB</v>
      </c>
      <c r="E334" s="25">
        <f>IFERROR(__xludf.DUMMYFUNCTION("""COMPUTED_VALUE"""),2020.0)</f>
        <v>2020</v>
      </c>
      <c r="F334" s="24" t="str">
        <f>IFERROR(__xludf.DUMMYFUNCTION("""COMPUTED_VALUE"""),"Educação profissional – Brasil; Educação de Jovens e Adultos (EJA); Rede Federal de Educação Técnica e Tecnológica; PROEJA; Educação popular")</f>
        <v>Educação profissional – Brasil; Educação de Jovens e Adultos (EJA); Rede Federal de Educação Técnica e Tecnológica; PROEJA; Educação popular</v>
      </c>
      <c r="G334" s="28" t="str">
        <f>IFERROR(__xludf.DUMMYFUNCTION("""COMPUTED_VALUE"""),"9788587572024")</f>
        <v>9788587572024</v>
      </c>
      <c r="H334" s="29" t="str">
        <f>IFERROR(__xludf.DUMMYFUNCTION("""COMPUTED_VALUE"""),"http://editora.ifpb.edu.br/index.php/ifpb/catalog/book/360")</f>
        <v>http://editora.ifpb.edu.br/index.php/ifpb/catalog/book/360</v>
      </c>
      <c r="I334" s="24" t="str">
        <f>IFERROR(__xludf.DUMMYFUNCTION("""COMPUTED_VALUE"""),"Ciências Humanas")</f>
        <v>Ciências Humanas</v>
      </c>
    </row>
    <row r="335">
      <c r="A335" s="24" t="str">
        <f>IFERROR(__xludf.DUMMYFUNCTION("""COMPUTED_VALUE"""),"Educação e Direitos Humanos na Rede Federal de Educação Profissional e Tecnológica")</f>
        <v>Educação e Direitos Humanos na Rede Federal de Educação Profissional e Tecnológica</v>
      </c>
      <c r="B335" s="24" t="str">
        <f>IFERROR(__xludf.DUMMYFUNCTION("""COMPUTED_VALUE"""),"Organizadores Pâmella Santos dos Passos, Lesliê Vieira Mulico")</f>
        <v>Organizadores Pâmella Santos dos Passos, Lesliê Vieira Mulico</v>
      </c>
      <c r="C335" s="24" t="str">
        <f>IFERROR(__xludf.DUMMYFUNCTION("""COMPUTED_VALUE"""),"João Pessoa")</f>
        <v>João Pessoa</v>
      </c>
      <c r="D335" s="24" t="str">
        <f>IFERROR(__xludf.DUMMYFUNCTION("""COMPUTED_VALUE"""),"Editora IFPB")</f>
        <v>Editora IFPB</v>
      </c>
      <c r="E335" s="25">
        <f>IFERROR(__xludf.DUMMYFUNCTION("""COMPUTED_VALUE"""),2019.0)</f>
        <v>2019</v>
      </c>
      <c r="F335" s="24" t="str">
        <f>IFERROR(__xludf.DUMMYFUNCTION("""COMPUTED_VALUE"""),"Educação profissional; Direitos Humanos; Políticas Públicas")</f>
        <v>Educação profissional; Direitos Humanos; Políticas Públicas</v>
      </c>
      <c r="G335" s="28" t="str">
        <f>IFERROR(__xludf.DUMMYFUNCTION("""COMPUTED_VALUE"""),"9788554490294")</f>
        <v>9788554490294</v>
      </c>
      <c r="H335" s="29" t="str">
        <f>IFERROR(__xludf.DUMMYFUNCTION("""COMPUTED_VALUE"""),"http://editora.ifpb.edu.br/index.php/ifpb/catalog/book/242")</f>
        <v>http://editora.ifpb.edu.br/index.php/ifpb/catalog/book/242</v>
      </c>
      <c r="I335" s="24" t="str">
        <f>IFERROR(__xludf.DUMMYFUNCTION("""COMPUTED_VALUE"""),"Ciências Humanas")</f>
        <v>Ciências Humanas</v>
      </c>
    </row>
    <row r="336">
      <c r="A336" s="24" t="str">
        <f>IFERROR(__xludf.DUMMYFUNCTION("""COMPUTED_VALUE"""),"EDUCAÇÃO E ETNICIDADE: DIÁLOGOS INTERDISCIPLINARES")</f>
        <v>EDUCAÇÃO E ETNICIDADE: DIÁLOGOS INTERDISCIPLINARES</v>
      </c>
      <c r="B336" s="24" t="str">
        <f>IFERROR(__xludf.DUMMYFUNCTION("""COMPUTED_VALUE"""),"Ana Cristina Silva Daxenberger, Rosivaldo Gomes de Sá Sobrinho, Magna Lúcia Da Silva.")</f>
        <v>Ana Cristina Silva Daxenberger, Rosivaldo Gomes de Sá Sobrinho, Magna Lúcia Da Silva.</v>
      </c>
      <c r="C336" s="24" t="str">
        <f>IFERROR(__xludf.DUMMYFUNCTION("""COMPUTED_VALUE"""),"João Pessoa")</f>
        <v>João Pessoa</v>
      </c>
      <c r="D336" s="24" t="str">
        <f>IFERROR(__xludf.DUMMYFUNCTION("""COMPUTED_VALUE"""),"Editora da UFPB")</f>
        <v>Editora da UFPB</v>
      </c>
      <c r="E336" s="25">
        <f>IFERROR(__xludf.DUMMYFUNCTION("""COMPUTED_VALUE"""),2018.0)</f>
        <v>2018</v>
      </c>
      <c r="F336" s="24" t="str">
        <f>IFERROR(__xludf.DUMMYFUNCTION("""COMPUTED_VALUE"""),"Educação; Diversidade etnico-racial; Escola")</f>
        <v>Educação; Diversidade etnico-racial; Escola</v>
      </c>
      <c r="G336" s="28" t="str">
        <f>IFERROR(__xludf.DUMMYFUNCTION("""COMPUTED_VALUE"""),"9878523712945")</f>
        <v>9878523712945</v>
      </c>
      <c r="H336" s="29" t="str">
        <f>IFERROR(__xludf.DUMMYFUNCTION("""COMPUTED_VALUE"""),"http://www.editora.ufpb.br/sistema/press5/index.php/UFPB/catalog/book/114")</f>
        <v>http://www.editora.ufpb.br/sistema/press5/index.php/UFPB/catalog/book/114</v>
      </c>
      <c r="I336" s="24" t="str">
        <f>IFERROR(__xludf.DUMMYFUNCTION("""COMPUTED_VALUE"""),"Ciências Humanas")</f>
        <v>Ciências Humanas</v>
      </c>
    </row>
    <row r="337">
      <c r="A337" s="24" t="str">
        <f>IFERROR(__xludf.DUMMYFUNCTION("""COMPUTED_VALUE"""),"Educação e inclusão: desafios formativos e curriculares. ")</f>
        <v>Educação e inclusão: desafios formativos e curriculares. </v>
      </c>
      <c r="B337" s="24" t="str">
        <f>IFERROR(__xludf.DUMMYFUNCTION("""COMPUTED_VALUE"""),"(org.) Graça dos Santos Costa, Núria Rajadell-Puiggròs, Claudio Pinto Nunes")</f>
        <v>(org.) Graça dos Santos Costa, Núria Rajadell-Puiggròs, Claudio Pinto Nunes</v>
      </c>
      <c r="C337" s="24" t="str">
        <f>IFERROR(__xludf.DUMMYFUNCTION("""COMPUTED_VALUE"""),"Vitória da Conquista, BA")</f>
        <v>Vitória da Conquista, BA</v>
      </c>
      <c r="D337" s="24" t="str">
        <f>IFERROR(__xludf.DUMMYFUNCTION("""COMPUTED_VALUE"""),"Edições UESB")</f>
        <v>Edições UESB</v>
      </c>
      <c r="E337" s="25">
        <f>IFERROR(__xludf.DUMMYFUNCTION("""COMPUTED_VALUE"""),2020.0)</f>
        <v>2020</v>
      </c>
      <c r="F337" s="24" t="str">
        <f>IFERROR(__xludf.DUMMYFUNCTION("""COMPUTED_VALUE"""),"Educação especial; Formação docente e Currículo; Educação inclusiva; Educacão e inclusão")</f>
        <v>Educação especial; Formação docente e Currículo; Educação inclusiva; Educacão e inclusão</v>
      </c>
      <c r="G337" s="28" t="str">
        <f>IFERROR(__xludf.DUMMYFUNCTION("""COMPUTED_VALUE"""),"9786587106038")</f>
        <v>9786587106038</v>
      </c>
      <c r="H337" s="29" t="str">
        <f>IFERROR(__xludf.DUMMYFUNCTION("""COMPUTED_VALUE"""),"http://anais.uesb.br/index.php/EVE/article/viewFile/9490/9299")</f>
        <v>http://anais.uesb.br/index.php/EVE/article/viewFile/9490/9299</v>
      </c>
      <c r="I337" s="24" t="str">
        <f>IFERROR(__xludf.DUMMYFUNCTION("""COMPUTED_VALUE"""),"Ciências Humanas")</f>
        <v>Ciências Humanas</v>
      </c>
    </row>
    <row r="338">
      <c r="A338" s="24" t="str">
        <f>IFERROR(__xludf.DUMMYFUNCTION("""COMPUTED_VALUE"""),"Educação e sua diversidade ")</f>
        <v>Educação e sua diversidade </v>
      </c>
      <c r="B338" s="24" t="str">
        <f>IFERROR(__xludf.DUMMYFUNCTION("""COMPUTED_VALUE"""),"Arlete Ramos dos Santos; Julia Maria da Silva Oliveira, Lívia Andrade Coelho; (org.)")</f>
        <v>Arlete Ramos dos Santos; Julia Maria da Silva Oliveira, Lívia Andrade Coelho; (org.)</v>
      </c>
      <c r="C338" s="24" t="str">
        <f>IFERROR(__xludf.DUMMYFUNCTION("""COMPUTED_VALUE"""),"Ilhéus, BA")</f>
        <v>Ilhéus, BA</v>
      </c>
      <c r="D338" s="24" t="str">
        <f>IFERROR(__xludf.DUMMYFUNCTION("""COMPUTED_VALUE"""),"Editus")</f>
        <v>Editus</v>
      </c>
      <c r="E338" s="25">
        <f>IFERROR(__xludf.DUMMYFUNCTION("""COMPUTED_VALUE"""),2017.0)</f>
        <v>2017</v>
      </c>
      <c r="F338" s="24" t="str">
        <f>IFERROR(__xludf.DUMMYFUNCTION("""COMPUTED_VALUE"""),"Educação multicultural; Educação – Estudo; e ensino; Educação – Aspectos sociais")</f>
        <v>Educação multicultural; Educação – Estudo; e ensino; Educação – Aspectos sociais</v>
      </c>
      <c r="G338" s="28" t="str">
        <f>IFERROR(__xludf.DUMMYFUNCTION("""COMPUTED_VALUE"""),"9788574554372")</f>
        <v>9788574554372</v>
      </c>
      <c r="H338" s="29" t="str">
        <f>IFERROR(__xludf.DUMMYFUNCTION("""COMPUTED_VALUE"""),"http://www.uesc.br/editora/livrosdigitais2018/educacao_e_sua_diversidade.pdf")</f>
        <v>http://www.uesc.br/editora/livrosdigitais2018/educacao_e_sua_diversidade.pdf</v>
      </c>
      <c r="I338" s="24" t="str">
        <f>IFERROR(__xludf.DUMMYFUNCTION("""COMPUTED_VALUE"""),"Ciências Humanas")</f>
        <v>Ciências Humanas</v>
      </c>
    </row>
    <row r="339">
      <c r="A339" s="24" t="str">
        <f>IFERROR(__xludf.DUMMYFUNCTION("""COMPUTED_VALUE"""),"Educação e tecnologias digitais da informação e comunicação: Discursos, práticas, análises e desafios ")</f>
        <v>Educação e tecnologias digitais da informação e comunicação: Discursos, práticas, análises e desafios </v>
      </c>
      <c r="B339" s="24" t="str">
        <f>IFERROR(__xludf.DUMMYFUNCTION("""COMPUTED_VALUE"""),"Organizadoras; Albina Pereira de Pinho Silva; Leandra Ines Seganfredo Santos; Sandra Luzia Wrobel Straub")</f>
        <v>Organizadoras; Albina Pereira de Pinho Silva; Leandra Ines Seganfredo Santos; Sandra Luzia Wrobel Straub</v>
      </c>
      <c r="C339" s="24" t="str">
        <f>IFERROR(__xludf.DUMMYFUNCTION("""COMPUTED_VALUE"""),"Cáceres")</f>
        <v>Cáceres</v>
      </c>
      <c r="D339" s="24" t="str">
        <f>IFERROR(__xludf.DUMMYFUNCTION("""COMPUTED_VALUE"""),"UNEMAT")</f>
        <v>UNEMAT</v>
      </c>
      <c r="E339" s="25">
        <f>IFERROR(__xludf.DUMMYFUNCTION("""COMPUTED_VALUE"""),2014.0)</f>
        <v>2014</v>
      </c>
      <c r="F339" s="24" t="str">
        <f>IFERROR(__xludf.DUMMYFUNCTION("""COMPUTED_VALUE"""),"Linguagem e Linguas Educação Comunicão e Informatica")</f>
        <v>Linguagem e Linguas Educação Comunicão e Informatica</v>
      </c>
      <c r="G339" s="28" t="str">
        <f>IFERROR(__xludf.DUMMYFUNCTION("""COMPUTED_VALUE"""),"9788579111396")</f>
        <v>9788579111396</v>
      </c>
      <c r="H339" s="29" t="str">
        <f>IFERROR(__xludf.DUMMYFUNCTION("""COMPUTED_VALUE"""),"http://portal.unemat.br/media/files/E-Book_Educacao_e_Tecnologias_digitais-Leandra_Seganfredo-SINOP.pdf")</f>
        <v>http://portal.unemat.br/media/files/E-Book_Educacao_e_Tecnologias_digitais-Leandra_Seganfredo-SINOP.pdf</v>
      </c>
      <c r="I339" s="24" t="str">
        <f>IFERROR(__xludf.DUMMYFUNCTION("""COMPUTED_VALUE"""),"Ciências Humanas")</f>
        <v>Ciências Humanas</v>
      </c>
    </row>
    <row r="340">
      <c r="A340" s="24" t="str">
        <f>IFERROR(__xludf.DUMMYFUNCTION("""COMPUTED_VALUE"""),"Educação e teoria ator-rede: fluxos heterogêneos e conexões híbridas")</f>
        <v>Educação e teoria ator-rede: fluxos heterogêneos e conexões híbridas</v>
      </c>
      <c r="B340" s="24" t="str">
        <f>IFERROR(__xludf.DUMMYFUNCTION("""COMPUTED_VALUE"""),"Kaio Eduardo de Jesus Oliveira, Cristiane de Magalhães Porto")</f>
        <v>Kaio Eduardo de Jesus Oliveira, Cristiane de Magalhães Porto</v>
      </c>
      <c r="C340" s="24" t="str">
        <f>IFERROR(__xludf.DUMMYFUNCTION("""COMPUTED_VALUE"""),"Ilhéus, BA")</f>
        <v>Ilhéus, BA</v>
      </c>
      <c r="D340" s="24" t="str">
        <f>IFERROR(__xludf.DUMMYFUNCTION("""COMPUTED_VALUE"""),"Editus")</f>
        <v>Editus</v>
      </c>
      <c r="E340" s="25">
        <f>IFERROR(__xludf.DUMMYFUNCTION("""COMPUTED_VALUE"""),2016.0)</f>
        <v>2016</v>
      </c>
      <c r="F340" s="24" t="str">
        <f>IFERROR(__xludf.DUMMYFUNCTION("""COMPUTED_VALUE"""),"Educação; Educação não formal; Ensino; Aprendizagem")</f>
        <v>Educação; Educação não formal; Ensino; Aprendizagem</v>
      </c>
      <c r="G340" s="28" t="str">
        <f>IFERROR(__xludf.DUMMYFUNCTION("""COMPUTED_VALUE"""),"9788574554174")</f>
        <v>9788574554174</v>
      </c>
      <c r="H340" s="29" t="str">
        <f>IFERROR(__xludf.DUMMYFUNCTION("""COMPUTED_VALUE"""),"http://www.uesc.br/editora/livrosdigitais2017/educacao_teoria_ator_rede.pdf")</f>
        <v>http://www.uesc.br/editora/livrosdigitais2017/educacao_teoria_ator_rede.pdf</v>
      </c>
      <c r="I340" s="24" t="str">
        <f>IFERROR(__xludf.DUMMYFUNCTION("""COMPUTED_VALUE"""),"Ciências Humanas")</f>
        <v>Ciências Humanas</v>
      </c>
    </row>
    <row r="341">
      <c r="A341" s="24" t="str">
        <f>IFERROR(__xludf.DUMMYFUNCTION("""COMPUTED_VALUE"""),"Educação em direitos humanos")</f>
        <v>Educação em direitos humanos</v>
      </c>
      <c r="B341" s="24" t="str">
        <f>IFERROR(__xludf.DUMMYFUNCTION("""COMPUTED_VALUE"""),"Fachinetto, Rochele Fellini; Seffner, Fernando; Santos, Renan Bulsing dos ")</f>
        <v>Fachinetto, Rochele Fellini; Seffner, Fernando; Santos, Renan Bulsing dos </v>
      </c>
      <c r="C341" s="24" t="str">
        <f>IFERROR(__xludf.DUMMYFUNCTION("""COMPUTED_VALUE"""),"Porto Alegre")</f>
        <v>Porto Alegre</v>
      </c>
      <c r="D341" s="24" t="str">
        <f>IFERROR(__xludf.DUMMYFUNCTION("""COMPUTED_VALUE"""),"UFRGS")</f>
        <v>UFRGS</v>
      </c>
      <c r="E341" s="25">
        <f>IFERROR(__xludf.DUMMYFUNCTION("""COMPUTED_VALUE"""),2018.0)</f>
        <v>2018</v>
      </c>
      <c r="F341" s="24" t="str">
        <f>IFERROR(__xludf.DUMMYFUNCTION("""COMPUTED_VALUE"""),"Cidadania; Currículo; Direitos humanos; Educação para a paz; Gênero; Sexualidade")</f>
        <v>Cidadania; Currículo; Direitos humanos; Educação para a paz; Gênero; Sexualidade</v>
      </c>
      <c r="G341" s="28" t="str">
        <f>IFERROR(__xludf.DUMMYFUNCTION("""COMPUTED_VALUE"""),"9788538604440 (pdf); 9788538604457 (epub)")</f>
        <v>9788538604440 (pdf); 9788538604457 (epub)</v>
      </c>
      <c r="H341" s="29" t="str">
        <f>IFERROR(__xludf.DUMMYFUNCTION("""COMPUTED_VALUE"""),"http://hdl.handle.net/10183/183493")</f>
        <v>http://hdl.handle.net/10183/183493</v>
      </c>
      <c r="I341" s="24" t="str">
        <f>IFERROR(__xludf.DUMMYFUNCTION("""COMPUTED_VALUE"""),"Ciências Humanas")</f>
        <v>Ciências Humanas</v>
      </c>
    </row>
    <row r="342">
      <c r="A342" s="24" t="str">
        <f>IFERROR(__xludf.DUMMYFUNCTION("""COMPUTED_VALUE"""),"Educação em direitos humanos: história, epistemologia e práticas pedagógicas*")</f>
        <v>Educação em direitos humanos: história, epistemologia e práticas pedagógicas*</v>
      </c>
      <c r="B342" s="24" t="str">
        <f>IFERROR(__xludf.DUMMYFUNCTION("""COMPUTED_VALUE"""),"Lindomar Wessler Boneti, Regina Bergamaschi Bley, André Bakker da Silveira e Murillo Amboni Schio")</f>
        <v>Lindomar Wessler Boneti, Regina Bergamaschi Bley, André Bakker da Silveira e Murillo Amboni Schio</v>
      </c>
      <c r="C342" s="24" t="str">
        <f>IFERROR(__xludf.DUMMYFUNCTION("""COMPUTED_VALUE"""),"Ponta Grossa")</f>
        <v>Ponta Grossa</v>
      </c>
      <c r="D342" s="24" t="str">
        <f>IFERROR(__xludf.DUMMYFUNCTION("""COMPUTED_VALUE"""),"Editora UEPG")</f>
        <v>Editora UEPG</v>
      </c>
      <c r="E342" s="25">
        <f>IFERROR(__xludf.DUMMYFUNCTION("""COMPUTED_VALUE"""),2019.0)</f>
        <v>2019</v>
      </c>
      <c r="F342" s="24" t="str">
        <f>IFERROR(__xludf.DUMMYFUNCTION("""COMPUTED_VALUE"""),"Na tentativa de delinear os traços de diferentes movimentos sociais e políticos em defesa dos direitos humanos, a presente obra figura como um verdadeiro encadeamento intelectual que coloca em perspectiva duas dimensões: os fundamentos dos direitos humano"&amp;"s e as implicações desses fundamentos para a prática escolar, ambos complementados por temas que desafiam a escola contemporânea")</f>
        <v>Na tentativa de delinear os traços de diferentes movimentos sociais e políticos em defesa dos direitos humanos, a presente obra figura como um verdadeiro encadeamento intelectual que coloca em perspectiva duas dimensões: os fundamentos dos direitos humanos e as implicações desses fundamentos para a prática escolar, ambos complementados por temas que desafiam a escola contemporânea</v>
      </c>
      <c r="G342" s="28" t="str">
        <f>IFERROR(__xludf.DUMMYFUNCTION("""COMPUTED_VALUE"""),"9788577982432")</f>
        <v>9788577982432</v>
      </c>
      <c r="H342" s="29" t="str">
        <f>IFERROR(__xludf.DUMMYFUNCTION("""COMPUTED_VALUE"""),"https://portal-archipelagus.azurewebsites.net/farol/eduepg/ebook/educacao-em-direitos-humanos-historia-epistemologia-e-praticas-pedagogicas/1014478/")</f>
        <v>https://portal-archipelagus.azurewebsites.net/farol/eduepg/ebook/educacao-em-direitos-humanos-historia-epistemologia-e-praticas-pedagogicas/1014478/</v>
      </c>
      <c r="I342" s="24" t="str">
        <f>IFERROR(__xludf.DUMMYFUNCTION("""COMPUTED_VALUE"""),"Ciências Humanas")</f>
        <v>Ciências Humanas</v>
      </c>
    </row>
    <row r="343">
      <c r="A343" s="24" t="str">
        <f>IFERROR(__xludf.DUMMYFUNCTION("""COMPUTED_VALUE"""),"Educação em gênero e diversidade")</f>
        <v>Educação em gênero e diversidade</v>
      </c>
      <c r="B343" s="24" t="str">
        <f>IFERROR(__xludf.DUMMYFUNCTION("""COMPUTED_VALUE"""),"Silveira, Catharina da Cunha; Friederichs, Marta Cristina; Soares, Rosângela de Fátima Rodrigues; Silva, Rosimeri Aquino da ")</f>
        <v>Silveira, Catharina da Cunha; Friederichs, Marta Cristina; Soares, Rosângela de Fátima Rodrigues; Silva, Rosimeri Aquino da </v>
      </c>
      <c r="C343" s="24" t="str">
        <f>IFERROR(__xludf.DUMMYFUNCTION("""COMPUTED_VALUE"""),"Porto Alegre")</f>
        <v>Porto Alegre</v>
      </c>
      <c r="D343" s="24" t="str">
        <f>IFERROR(__xludf.DUMMYFUNCTION("""COMPUTED_VALUE"""),"UFRGS")</f>
        <v>UFRGS</v>
      </c>
      <c r="E343" s="25">
        <f>IFERROR(__xludf.DUMMYFUNCTION("""COMPUTED_VALUE"""),2018.0)</f>
        <v>2018</v>
      </c>
      <c r="F343" s="24" t="str">
        <f>IFERROR(__xludf.DUMMYFUNCTION("""COMPUTED_VALUE"""),"Cidadania; Currículo; Direitos humanos; Diversidade; Educação em saúde; Formação de professores; Gênero; Juventude; Música : Escolas : Brasil; Sexualidade; Violência")</f>
        <v>Cidadania; Currículo; Direitos humanos; Diversidade; Educação em saúde; Formação de professores; Gênero; Juventude; Música : Escolas : Brasil; Sexualidade; Violência</v>
      </c>
      <c r="G343" s="28" t="str">
        <f>IFERROR(__xludf.DUMMYFUNCTION("""COMPUTED_VALUE"""),"9788538604525 (pdf) 9788538604532 (epub) ")</f>
        <v>9788538604525 (pdf) 9788538604532 (epub) </v>
      </c>
      <c r="H343" s="29" t="str">
        <f>IFERROR(__xludf.DUMMYFUNCTION("""COMPUTED_VALUE"""),"http://hdl.handle.net/10183/186154")</f>
        <v>http://hdl.handle.net/10183/186154</v>
      </c>
      <c r="I343" s="24" t="str">
        <f>IFERROR(__xludf.DUMMYFUNCTION("""COMPUTED_VALUE"""),"Ciências Humanas")</f>
        <v>Ciências Humanas</v>
      </c>
    </row>
    <row r="344">
      <c r="A344" s="24" t="str">
        <f>IFERROR(__xludf.DUMMYFUNCTION("""COMPUTED_VALUE"""),"Educação especial e inclusão educacional: formação profissional e experiências em diferentes contextos")</f>
        <v>Educação especial e inclusão educacional: formação profissional e experiências em diferentes contextos</v>
      </c>
      <c r="B344" s="24" t="str">
        <f>IFERROR(__xludf.DUMMYFUNCTION("""COMPUTED_VALUE"""),"Cláudia Dechichi, Lázara Cristina da Silva,Juliene Madureira Ferreira")</f>
        <v>Cláudia Dechichi, Lázara Cristina da Silva,Juliene Madureira Ferreira</v>
      </c>
      <c r="C344" s="24" t="str">
        <f>IFERROR(__xludf.DUMMYFUNCTION("""COMPUTED_VALUE"""),"Uberlândia")</f>
        <v>Uberlândia</v>
      </c>
      <c r="D344" s="24" t="str">
        <f>IFERROR(__xludf.DUMMYFUNCTION("""COMPUTED_VALUE"""),"EDUFU")</f>
        <v>EDUFU</v>
      </c>
      <c r="E344" s="25">
        <f>IFERROR(__xludf.DUMMYFUNCTION("""COMPUTED_VALUE"""),2011.0)</f>
        <v>2011</v>
      </c>
      <c r="F344" s="24" t="str">
        <f>IFERROR(__xludf.DUMMYFUNCTION("""COMPUTED_VALUE"""),"Educação especial; Inclusão em educação. I Silva, Lázara Cristina da, 1967-.II .Ferreira,Juliene Madureira, 1982-III.Universidade Federal de Uberlândia. IV. Título. V. Série")</f>
        <v>Educação especial; Inclusão em educação. I Silva, Lázara Cristina da, 1967-.II .Ferreira,Juliene Madureira, 1982-III.Universidade Federal de Uberlândia. IV. Título. V. Série</v>
      </c>
      <c r="G344" s="28" t="str">
        <f>IFERROR(__xludf.DUMMYFUNCTION("""COMPUTED_VALUE"""),"9788570782687")</f>
        <v>9788570782687</v>
      </c>
      <c r="H344" s="29" t="str">
        <f>IFERROR(__xludf.DUMMYFUNCTION("""COMPUTED_VALUE"""),"http://www.edufu.ufu.br/sites/edufu.ufu.br/files/e-book_educacao_especial_v1_2011_0.pdf")</f>
        <v>http://www.edufu.ufu.br/sites/edufu.ufu.br/files/e-book_educacao_especial_v1_2011_0.pdf</v>
      </c>
      <c r="I344" s="24" t="str">
        <f>IFERROR(__xludf.DUMMYFUNCTION("""COMPUTED_VALUE"""),"Ciências Humanas")</f>
        <v>Ciências Humanas</v>
      </c>
    </row>
    <row r="345">
      <c r="A345" s="24" t="str">
        <f>IFERROR(__xludf.DUMMYFUNCTION("""COMPUTED_VALUE"""),"Educação especial: cidadania, memória, história ")</f>
        <v>Educação especial: cidadania, memória, história </v>
      </c>
      <c r="B345" s="24" t="str">
        <f>IFERROR(__xludf.DUMMYFUNCTION("""COMPUTED_VALUE"""),"Ana Paula Cunha dos Santos Fernandes (org.)")</f>
        <v>Ana Paula Cunha dos Santos Fernandes (org.)</v>
      </c>
      <c r="C345" s="24" t="str">
        <f>IFERROR(__xludf.DUMMYFUNCTION("""COMPUTED_VALUE"""),"Belém")</f>
        <v>Belém</v>
      </c>
      <c r="D345" s="24" t="str">
        <f>IFERROR(__xludf.DUMMYFUNCTION("""COMPUTED_VALUE"""),"UEPA")</f>
        <v>UEPA</v>
      </c>
      <c r="E345" s="25">
        <f>IFERROR(__xludf.DUMMYFUNCTION("""COMPUTED_VALUE"""),2017.0)</f>
        <v>2017</v>
      </c>
      <c r="F345" s="24" t="str">
        <f>IFERROR(__xludf.DUMMYFUNCTION("""COMPUTED_VALUE"""),"Educação especial - Pará; Educação inclusiva – Pará")</f>
        <v>Educação especial - Pará; Educação inclusiva – Pará</v>
      </c>
      <c r="G345" s="28" t="str">
        <f>IFERROR(__xludf.DUMMYFUNCTION("""COMPUTED_VALUE"""),"9788584580224")</f>
        <v>9788584580224</v>
      </c>
      <c r="H345" s="29" t="str">
        <f>IFERROR(__xludf.DUMMYFUNCTION("""COMPUTED_VALUE"""),"https://paginas.uepa.br/eduepa/wp-content/uploads/2019/06/LIVRO-EDUCA%C3%87%C3%83O-ESPECIAL-31-01-2018.pdf")</f>
        <v>https://paginas.uepa.br/eduepa/wp-content/uploads/2019/06/LIVRO-EDUCA%C3%87%C3%83O-ESPECIAL-31-01-2018.pdf</v>
      </c>
      <c r="I345" s="24" t="str">
        <f>IFERROR(__xludf.DUMMYFUNCTION("""COMPUTED_VALUE"""),"Ciências Humanas")</f>
        <v>Ciências Humanas</v>
      </c>
    </row>
    <row r="346">
      <c r="A346" s="24" t="str">
        <f>IFERROR(__xludf.DUMMYFUNCTION("""COMPUTED_VALUE"""),"Educação inclusiva no RENAFOR: nova formação docente para a reconfiguração da prática pedagógica")</f>
        <v>Educação inclusiva no RENAFOR: nova formação docente para a reconfiguração da prática pedagógica</v>
      </c>
      <c r="B346" s="24" t="str">
        <f>IFERROR(__xludf.DUMMYFUNCTION("""COMPUTED_VALUE"""),"Ana Lídia Cardoso do Nascimento organizadora")</f>
        <v>Ana Lídia Cardoso do Nascimento organizadora</v>
      </c>
      <c r="C346" s="24" t="str">
        <f>IFERROR(__xludf.DUMMYFUNCTION("""COMPUTED_VALUE"""),"Belém")</f>
        <v>Belém</v>
      </c>
      <c r="D346" s="24" t="str">
        <f>IFERROR(__xludf.DUMMYFUNCTION("""COMPUTED_VALUE"""),"Edufra")</f>
        <v>Edufra</v>
      </c>
      <c r="E346" s="25">
        <f>IFERROR(__xludf.DUMMYFUNCTION("""COMPUTED_VALUE"""),2014.0)</f>
        <v>2014</v>
      </c>
      <c r="F346" s="24" t="str">
        <f>IFERROR(__xludf.DUMMYFUNCTION("""COMPUTED_VALUE"""),"Educação inclusiva; Práticas pedagógicas")</f>
        <v>Educação inclusiva; Práticas pedagógicas</v>
      </c>
      <c r="G346" s="28" t="str">
        <f>IFERROR(__xludf.DUMMYFUNCTION("""COMPUTED_VALUE"""),"9788572950862")</f>
        <v>9788572950862</v>
      </c>
      <c r="H346" s="29" t="str">
        <f>IFERROR(__xludf.DUMMYFUNCTION("""COMPUTED_VALUE"""),"https://www.yumpu.com/pt/embed/view/VlfPkHe3tO576TBx")</f>
        <v>https://www.yumpu.com/pt/embed/view/VlfPkHe3tO576TBx</v>
      </c>
      <c r="I346" s="24" t="str">
        <f>IFERROR(__xludf.DUMMYFUNCTION("""COMPUTED_VALUE"""),"Ciências Humanas")</f>
        <v>Ciências Humanas</v>
      </c>
    </row>
    <row r="347">
      <c r="A347" s="24" t="str">
        <f>IFERROR(__xludf.DUMMYFUNCTION("""COMPUTED_VALUE"""),"Educação infantil e atividades sociais: teoria e práticade uma organização curricular ")</f>
        <v>Educação infantil e atividades sociais: teoria e práticade uma organização curricular </v>
      </c>
      <c r="B347" s="24" t="str">
        <f>IFERROR(__xludf.DUMMYFUNCTION("""COMPUTED_VALUE"""),"Fabrícia Teles ")</f>
        <v>Fabrícia Teles </v>
      </c>
      <c r="C347" s="24" t="str">
        <f>IFERROR(__xludf.DUMMYFUNCTION("""COMPUTED_VALUE"""),"Teresina")</f>
        <v>Teresina</v>
      </c>
      <c r="D347" s="24" t="str">
        <f>IFERROR(__xludf.DUMMYFUNCTION("""COMPUTED_VALUE"""),"EDUFPI")</f>
        <v>EDUFPI</v>
      </c>
      <c r="E347" s="25">
        <f>IFERROR(__xludf.DUMMYFUNCTION("""COMPUTED_VALUE"""),2019.0)</f>
        <v>2019</v>
      </c>
      <c r="F347" s="24" t="str">
        <f>IFERROR(__xludf.DUMMYFUNCTION("""COMPUTED_VALUE"""),"Educação Infantil; Brincar; Currículo; Atividades Sociais")</f>
        <v>Educação Infantil; Brincar; Currículo; Atividades Sociais</v>
      </c>
      <c r="G347" s="28" t="str">
        <f>IFERROR(__xludf.DUMMYFUNCTION("""COMPUTED_VALUE"""),"9788550905648")</f>
        <v>9788550905648</v>
      </c>
      <c r="H347" s="29" t="str">
        <f>IFERROR(__xludf.DUMMYFUNCTION("""COMPUTED_VALUE"""),"https://www.ufpi.br/arquivos_download/arquivos/Capa_Livro_Online_-_final_120200123144831.pdf")</f>
        <v>https://www.ufpi.br/arquivos_download/arquivos/Capa_Livro_Online_-_final_120200123144831.pdf</v>
      </c>
      <c r="I347" s="24" t="str">
        <f>IFERROR(__xludf.DUMMYFUNCTION("""COMPUTED_VALUE"""),"Ciências Humanas")</f>
        <v>Ciências Humanas</v>
      </c>
    </row>
    <row r="348">
      <c r="A348" s="24" t="str">
        <f>IFERROR(__xludf.DUMMYFUNCTION("""COMPUTED_VALUE"""),"Educação infantil em jornada de tempo integral: dilemas e perspectivas")</f>
        <v>Educação infantil em jornada de tempo integral: dilemas e perspectivas</v>
      </c>
      <c r="B348" s="24" t="str">
        <f>IFERROR(__xludf.DUMMYFUNCTION("""COMPUTED_VALUE"""),"Vania Carvalho de Araújo (org.)")</f>
        <v>Vania Carvalho de Araújo (org.)</v>
      </c>
      <c r="C348" s="24" t="str">
        <f>IFERROR(__xludf.DUMMYFUNCTION("""COMPUTED_VALUE"""),"Vitória")</f>
        <v>Vitória</v>
      </c>
      <c r="D348" s="24" t="str">
        <f>IFERROR(__xludf.DUMMYFUNCTION("""COMPUTED_VALUE"""),"EDUFES")</f>
        <v>EDUFES</v>
      </c>
      <c r="E348" s="25">
        <f>IFERROR(__xludf.DUMMYFUNCTION("""COMPUTED_VALUE"""),2015.0)</f>
        <v>2015</v>
      </c>
      <c r="F348" s="24" t="str">
        <f>IFERROR(__xludf.DUMMYFUNCTION("""COMPUTED_VALUE"""),"Educação de crianças; Ensino fundamental; Escola de tempo integral")</f>
        <v>Educação de crianças; Ensino fundamental; Escola de tempo integral</v>
      </c>
      <c r="G348" s="28" t="str">
        <f>IFERROR(__xludf.DUMMYFUNCTION("""COMPUTED_VALUE"""),"9788577722730")</f>
        <v>9788577722730</v>
      </c>
      <c r="H348" s="29" t="str">
        <f>IFERROR(__xludf.DUMMYFUNCTION("""COMPUTED_VALUE"""),"http://repositorio.ufes.br/handle/10/1415")</f>
        <v>http://repositorio.ufes.br/handle/10/1415</v>
      </c>
      <c r="I348" s="24" t="str">
        <f>IFERROR(__xludf.DUMMYFUNCTION("""COMPUTED_VALUE"""),"Ciências Humanas")</f>
        <v>Ciências Humanas</v>
      </c>
    </row>
    <row r="349">
      <c r="A349" s="24" t="str">
        <f>IFERROR(__xludf.DUMMYFUNCTION("""COMPUTED_VALUE"""),"Educação infantil: história e gestão educacional.")</f>
        <v>Educação infantil: história e gestão educacional.</v>
      </c>
      <c r="B349" s="24" t="str">
        <f>IFERROR(__xludf.DUMMYFUNCTION("""COMPUTED_VALUE"""),"Lindamir C. V. Oliveira, Magda Sarat (org.)")</f>
        <v>Lindamir C. V. Oliveira, Magda Sarat (org.)</v>
      </c>
      <c r="C349" s="24" t="str">
        <f>IFERROR(__xludf.DUMMYFUNCTION("""COMPUTED_VALUE"""),"Dourados, MS")</f>
        <v>Dourados, MS</v>
      </c>
      <c r="D349" s="24" t="str">
        <f>IFERROR(__xludf.DUMMYFUNCTION("""COMPUTED_VALUE"""),"Ed. UFGD")</f>
        <v>Ed. UFGD</v>
      </c>
      <c r="E349" s="25">
        <f>IFERROR(__xludf.DUMMYFUNCTION("""COMPUTED_VALUE"""),2009.0)</f>
        <v>2009</v>
      </c>
      <c r="F349" s="24" t="str">
        <f>IFERROR(__xludf.DUMMYFUNCTION("""COMPUTED_VALUE"""),"Educação infantil – História; Educação infantil – História – Minas Gerais, 1835-1906; Infância; Gestão educacional")</f>
        <v>Educação infantil – História; Educação infantil – História – Minas Gerais, 1835-1906; Infância; Gestão educacional</v>
      </c>
      <c r="G349" s="28" t="str">
        <f>IFERROR(__xludf.DUMMYFUNCTION("""COMPUTED_VALUE"""),"9788561228385")</f>
        <v>9788561228385</v>
      </c>
      <c r="H349" s="29" t="str">
        <f>IFERROR(__xludf.DUMMYFUNCTION("""COMPUTED_VALUE"""),"http://omp.ufgd.edu.br/omp/index.php/livrosabertos/catalog/view/90/97/373-1")</f>
        <v>http://omp.ufgd.edu.br/omp/index.php/livrosabertos/catalog/view/90/97/373-1</v>
      </c>
      <c r="I349" s="24" t="str">
        <f>IFERROR(__xludf.DUMMYFUNCTION("""COMPUTED_VALUE"""),"Ciências Humanas")</f>
        <v>Ciências Humanas</v>
      </c>
    </row>
    <row r="350">
      <c r="A350" s="24" t="str">
        <f>IFERROR(__xludf.DUMMYFUNCTION("""COMPUTED_VALUE"""),"Educação na Paraíba: análises e perspectivas. Volume I")</f>
        <v>Educação na Paraíba: análises e perspectivas. Volume I</v>
      </c>
      <c r="B350" s="24" t="str">
        <f>IFERROR(__xludf.DUMMYFUNCTION("""COMPUTED_VALUE"""),"Marileide Maria de Melo, Virgínia de Oliveira Silva, Angela Cardoso Ferreira Silva, organizadoras;")</f>
        <v>Marileide Maria de Melo, Virgínia de Oliveira Silva, Angela Cardoso Ferreira Silva, organizadoras;</v>
      </c>
      <c r="C350" s="24" t="str">
        <f>IFERROR(__xludf.DUMMYFUNCTION("""COMPUTED_VALUE"""),"João Pessoa")</f>
        <v>João Pessoa</v>
      </c>
      <c r="D350" s="24" t="str">
        <f>IFERROR(__xludf.DUMMYFUNCTION("""COMPUTED_VALUE"""),"Editora IFPB")</f>
        <v>Editora IFPB</v>
      </c>
      <c r="E350" s="25">
        <f>IFERROR(__xludf.DUMMYFUNCTION("""COMPUTED_VALUE"""),2013.0)</f>
        <v>2013</v>
      </c>
      <c r="F350" s="24" t="str">
        <f>IFERROR(__xludf.DUMMYFUNCTION("""COMPUTED_VALUE"""),"Educação; Paraíba; Políticas educacionais; Inclusão social")</f>
        <v>Educação; Paraíba; Políticas educacionais; Inclusão social</v>
      </c>
      <c r="G350" s="28" t="str">
        <f>IFERROR(__xludf.DUMMYFUNCTION("""COMPUTED_VALUE"""),"9788563406279")</f>
        <v>9788563406279</v>
      </c>
      <c r="H350" s="29" t="str">
        <f>IFERROR(__xludf.DUMMYFUNCTION("""COMPUTED_VALUE"""),"http://editora.ifpb.edu.br/index.php/ifpb/catalog/book/1")</f>
        <v>http://editora.ifpb.edu.br/index.php/ifpb/catalog/book/1</v>
      </c>
      <c r="I350" s="24" t="str">
        <f>IFERROR(__xludf.DUMMYFUNCTION("""COMPUTED_VALUE"""),"Ciências Humanas")</f>
        <v>Ciências Humanas</v>
      </c>
    </row>
    <row r="351">
      <c r="A351" s="24" t="str">
        <f>IFERROR(__xludf.DUMMYFUNCTION("""COMPUTED_VALUE"""),"Educação na Paraíba: análises e perspectivas. Volume II")</f>
        <v>Educação na Paraíba: análises e perspectivas. Volume II</v>
      </c>
      <c r="B351" s="24" t="str">
        <f>IFERROR(__xludf.DUMMYFUNCTION("""COMPUTED_VALUE"""),"Marileide Maria de Melo, Virgínia de Oliveira Silva, Angela Cardoso Ferreira Silva, organizadoras")</f>
        <v>Marileide Maria de Melo, Virgínia de Oliveira Silva, Angela Cardoso Ferreira Silva, organizadoras</v>
      </c>
      <c r="C351" s="24" t="str">
        <f>IFERROR(__xludf.DUMMYFUNCTION("""COMPUTED_VALUE"""),"João Pessoa")</f>
        <v>João Pessoa</v>
      </c>
      <c r="D351" s="24" t="str">
        <f>IFERROR(__xludf.DUMMYFUNCTION("""COMPUTED_VALUE"""),"Editora IFPB")</f>
        <v>Editora IFPB</v>
      </c>
      <c r="E351" s="25">
        <f>IFERROR(__xludf.DUMMYFUNCTION("""COMPUTED_VALUE"""),2013.0)</f>
        <v>2013</v>
      </c>
      <c r="F351" s="24" t="str">
        <f>IFERROR(__xludf.DUMMYFUNCTION("""COMPUTED_VALUE"""),"Educação; Paraíba; Políticas educacionais; Inclusão social")</f>
        <v>Educação; Paraíba; Políticas educacionais; Inclusão social</v>
      </c>
      <c r="G351" s="28" t="str">
        <f>IFERROR(__xludf.DUMMYFUNCTION("""COMPUTED_VALUE"""),"9788563406279")</f>
        <v>9788563406279</v>
      </c>
      <c r="H351" s="29" t="str">
        <f>IFERROR(__xludf.DUMMYFUNCTION("""COMPUTED_VALUE"""),"http://editora.ifpb.edu.br/index.php/ifpb/catalog/book/2")</f>
        <v>http://editora.ifpb.edu.br/index.php/ifpb/catalog/book/2</v>
      </c>
      <c r="I351" s="24" t="str">
        <f>IFERROR(__xludf.DUMMYFUNCTION("""COMPUTED_VALUE"""),"Ciências Humanas")</f>
        <v>Ciências Humanas</v>
      </c>
    </row>
    <row r="352">
      <c r="A352" s="24" t="str">
        <f>IFERROR(__xludf.DUMMYFUNCTION("""COMPUTED_VALUE"""),"Educação no Campo: lutas, experiências e reflexões")</f>
        <v>Educação no Campo: lutas, experiências e reflexões</v>
      </c>
      <c r="B352" s="24" t="str">
        <f>IFERROR(__xludf.DUMMYFUNCTION("""COMPUTED_VALUE"""),"Murilo Mendonça Oliveira de Souza (org.)")</f>
        <v>Murilo Mendonça Oliveira de Souza (org.)</v>
      </c>
      <c r="C352" s="24" t="str">
        <f>IFERROR(__xludf.DUMMYFUNCTION("""COMPUTED_VALUE"""),"Anápolis")</f>
        <v>Anápolis</v>
      </c>
      <c r="D352" s="24" t="str">
        <f>IFERROR(__xludf.DUMMYFUNCTION("""COMPUTED_VALUE"""),"UEG")</f>
        <v>UEG</v>
      </c>
      <c r="E352" s="25">
        <f>IFERROR(__xludf.DUMMYFUNCTION("""COMPUTED_VALUE"""),2018.0)</f>
        <v>2018</v>
      </c>
      <c r="F352" s="24" t="str">
        <f>IFERROR(__xludf.DUMMYFUNCTION("""COMPUTED_VALUE"""),"Agroecologia; Educação no campo; Ensino")</f>
        <v>Agroecologia; Educação no campo; Ensino</v>
      </c>
      <c r="G352" s="28" t="str">
        <f>IFERROR(__xludf.DUMMYFUNCTION("""COMPUTED_VALUE"""),"9788555820571")</f>
        <v>9788555820571</v>
      </c>
      <c r="H352" s="29" t="str">
        <f>IFERROR(__xludf.DUMMYFUNCTION("""COMPUTED_VALUE"""),"http://cdn.ueg.edu.br/source/editora_ueg/conteudo_compartilhado/11007/ebook_educacao_no_campo_digital_2018.pdf")</f>
        <v>http://cdn.ueg.edu.br/source/editora_ueg/conteudo_compartilhado/11007/ebook_educacao_no_campo_digital_2018.pdf</v>
      </c>
      <c r="I352" s="24" t="str">
        <f>IFERROR(__xludf.DUMMYFUNCTION("""COMPUTED_VALUE"""),"Ciências Humanas")</f>
        <v>Ciências Humanas</v>
      </c>
    </row>
    <row r="353">
      <c r="A353" s="24" t="str">
        <f>IFERROR(__xludf.DUMMYFUNCTION("""COMPUTED_VALUE"""),"Educação no/do trabalho no âmbito das políticas sociais")</f>
        <v>Educação no/do trabalho no âmbito das políticas sociais</v>
      </c>
      <c r="B353" s="24" t="str">
        <f>IFERROR(__xludf.DUMMYFUNCTION("""COMPUTED_VALUE"""),"Fernandes, Rosa Maria Castilhos")</f>
        <v>Fernandes, Rosa Maria Castilhos</v>
      </c>
      <c r="C353" s="24" t="str">
        <f>IFERROR(__xludf.DUMMYFUNCTION("""COMPUTED_VALUE"""),"Porto Alegre")</f>
        <v>Porto Alegre</v>
      </c>
      <c r="D353" s="24" t="str">
        <f>IFERROR(__xludf.DUMMYFUNCTION("""COMPUTED_VALUE"""),"UFRGS")</f>
        <v>UFRGS</v>
      </c>
      <c r="E353" s="25">
        <f>IFERROR(__xludf.DUMMYFUNCTION("""COMPUTED_VALUE"""),2019.0)</f>
        <v>2019</v>
      </c>
      <c r="F353" s="24" t="str">
        <f>IFERROR(__xludf.DUMMYFUNCTION("""COMPUTED_VALUE"""),"Assistência social; Educação; Educação permanente; Política social; Serviço social; Trabalho")</f>
        <v>Assistência social; Educação; Educação permanente; Política social; Serviço social; Trabalho</v>
      </c>
      <c r="G353" s="28" t="str">
        <f>IFERROR(__xludf.DUMMYFUNCTION("""COMPUTED_VALUE"""),"9788538604839")</f>
        <v>9788538604839</v>
      </c>
      <c r="H353" s="29" t="str">
        <f>IFERROR(__xludf.DUMMYFUNCTION("""COMPUTED_VALUE"""),"http://hdl.handle.net/10183/198710")</f>
        <v>http://hdl.handle.net/10183/198710</v>
      </c>
      <c r="I353" s="24" t="str">
        <f>IFERROR(__xludf.DUMMYFUNCTION("""COMPUTED_VALUE"""),"Ciências Humanas")</f>
        <v>Ciências Humanas</v>
      </c>
    </row>
    <row r="354">
      <c r="A354" s="24" t="str">
        <f>IFERROR(__xludf.DUMMYFUNCTION("""COMPUTED_VALUE"""),"Educação para os filhos dos outros: trajetória histórica da escola industrial de Natal (1942-1968)")</f>
        <v>Educação para os filhos dos outros: trajetória histórica da escola industrial de Natal (1942-1968)</v>
      </c>
      <c r="B354" s="24" t="str">
        <f>IFERROR(__xludf.DUMMYFUNCTION("""COMPUTED_VALUE"""),"Nina Maria da Guia de Sousa Silva")</f>
        <v>Nina Maria da Guia de Sousa Silva</v>
      </c>
      <c r="C354" s="24" t="str">
        <f>IFERROR(__xludf.DUMMYFUNCTION("""COMPUTED_VALUE"""),"João Pessoa")</f>
        <v>João Pessoa</v>
      </c>
      <c r="D354" s="24" t="str">
        <f>IFERROR(__xludf.DUMMYFUNCTION("""COMPUTED_VALUE"""),"Editora IFPB")</f>
        <v>Editora IFPB</v>
      </c>
      <c r="E354" s="25">
        <f>IFERROR(__xludf.DUMMYFUNCTION("""COMPUTED_VALUE"""),2019.0)</f>
        <v>2019</v>
      </c>
      <c r="F354" s="24" t="str">
        <f>IFERROR(__xludf.DUMMYFUNCTION("""COMPUTED_VALUE"""),"Educação e contexto histórico; Escola Industrial de Natal; Educação profissional; Ensino industrial")</f>
        <v>Educação e contexto histórico; Escola Industrial de Natal; Educação profissional; Ensino industrial</v>
      </c>
      <c r="G354" s="28" t="str">
        <f>IFERROR(__xludf.DUMMYFUNCTION("""COMPUTED_VALUE"""),"9788554885205")</f>
        <v>9788554885205</v>
      </c>
      <c r="H354" s="29" t="str">
        <f>IFERROR(__xludf.DUMMYFUNCTION("""COMPUTED_VALUE"""),"http://editora.ifpb.edu.br/index.php/ifpb/catalog/book/350")</f>
        <v>http://editora.ifpb.edu.br/index.php/ifpb/catalog/book/350</v>
      </c>
      <c r="I354" s="24" t="str">
        <f>IFERROR(__xludf.DUMMYFUNCTION("""COMPUTED_VALUE"""),"Ciências Humanas")</f>
        <v>Ciências Humanas</v>
      </c>
    </row>
    <row r="355">
      <c r="A355" s="24" t="str">
        <f>IFERROR(__xludf.DUMMYFUNCTION("""COMPUTED_VALUE"""),"Educação superior: políticas públicas e institucionais em perspectiva")</f>
        <v>Educação superior: políticas públicas e institucionais em perspectiva</v>
      </c>
      <c r="B355" s="24" t="str">
        <f>IFERROR(__xludf.DUMMYFUNCTION("""COMPUTED_VALUE"""),"Gianezini, Kelly; Lauxen, Sirlei de Lourdes; Volpato, Gildo; Franco, Maria Estela Dal Pai")</f>
        <v>Gianezini, Kelly; Lauxen, Sirlei de Lourdes; Volpato, Gildo; Franco, Maria Estela Dal Pai</v>
      </c>
      <c r="C355" s="24" t="str">
        <f>IFERROR(__xludf.DUMMYFUNCTION("""COMPUTED_VALUE"""),"Criciúma")</f>
        <v>Criciúma</v>
      </c>
      <c r="D355" s="24" t="str">
        <f>IFERROR(__xludf.DUMMYFUNCTION("""COMPUTED_VALUE"""),"Dois Por Quatro; Unesc")</f>
        <v>Dois Por Quatro; Unesc</v>
      </c>
      <c r="E355" s="25">
        <f>IFERROR(__xludf.DUMMYFUNCTION("""COMPUTED_VALUE"""),2018.0)</f>
        <v>2018</v>
      </c>
      <c r="F355" s="24" t="str">
        <f>IFERROR(__xludf.DUMMYFUNCTION("""COMPUTED_VALUE"""),"Ensino superior; Ensino superior – Política pública; Ensino superior – Políticas institucionais; Ensino superior – Aspectos econômicos; Ensino superior – Aspectos sociais")</f>
        <v>Ensino superior; Ensino superior – Política pública; Ensino superior – Políticas institucionais; Ensino superior – Aspectos econômicos; Ensino superior – Aspectos sociais</v>
      </c>
      <c r="G355" s="28" t="str">
        <f>IFERROR(__xludf.DUMMYFUNCTION("""COMPUTED_VALUE"""),"9788584100866")</f>
        <v>9788584100866</v>
      </c>
      <c r="H355" s="29" t="str">
        <f>IFERROR(__xludf.DUMMYFUNCTION("""COMPUTED_VALUE"""),"https://doi.org/10.18616/edu")</f>
        <v>https://doi.org/10.18616/edu</v>
      </c>
      <c r="I355" s="24" t="str">
        <f>IFERROR(__xludf.DUMMYFUNCTION("""COMPUTED_VALUE"""),"Ciências Humanas")</f>
        <v>Ciências Humanas</v>
      </c>
    </row>
    <row r="356">
      <c r="A356" s="24" t="str">
        <f>IFERROR(__xludf.DUMMYFUNCTION("""COMPUTED_VALUE"""),"Educação, cultura e sociedade")</f>
        <v>Educação, cultura e sociedade</v>
      </c>
      <c r="B356" s="24" t="str">
        <f>IFERROR(__xludf.DUMMYFUNCTION("""COMPUTED_VALUE"""),"Wilson Valentim Biasotto")</f>
        <v>Wilson Valentim Biasotto</v>
      </c>
      <c r="C356" s="24" t="str">
        <f>IFERROR(__xludf.DUMMYFUNCTION("""COMPUTED_VALUE"""),"Dourados, MS")</f>
        <v>Dourados, MS</v>
      </c>
      <c r="D356" s="24" t="str">
        <f>IFERROR(__xludf.DUMMYFUNCTION("""COMPUTED_VALUE"""),"Ed. UFGD")</f>
        <v>Ed. UFGD</v>
      </c>
      <c r="E356" s="25">
        <f>IFERROR(__xludf.DUMMYFUNCTION("""COMPUTED_VALUE"""),2013.0)</f>
        <v>2013</v>
      </c>
      <c r="F356" s="24" t="str">
        <f>IFERROR(__xludf.DUMMYFUNCTION("""COMPUTED_VALUE"""),"Educação – Dourados; Universidades públicas; Ensino superior")</f>
        <v>Educação – Dourados; Universidades públicas; Ensino superior</v>
      </c>
      <c r="G356" s="28" t="str">
        <f>IFERROR(__xludf.DUMMYFUNCTION("""COMPUTED_VALUE"""),"9788581470146")</f>
        <v>9788581470146</v>
      </c>
      <c r="H356" s="29" t="str">
        <f>IFERROR(__xludf.DUMMYFUNCTION("""COMPUTED_VALUE"""),"http://omp.ufgd.edu.br/omp/index.php/livrosabertos/catalog/view/66/70/250-3")</f>
        <v>http://omp.ufgd.edu.br/omp/index.php/livrosabertos/catalog/view/66/70/250-3</v>
      </c>
      <c r="I356" s="24" t="str">
        <f>IFERROR(__xludf.DUMMYFUNCTION("""COMPUTED_VALUE"""),"Ciências Humanas")</f>
        <v>Ciências Humanas</v>
      </c>
    </row>
    <row r="357">
      <c r="A357" s="24" t="str">
        <f>IFERROR(__xludf.DUMMYFUNCTION("""COMPUTED_VALUE"""),"Educação, cultura e sociedade")</f>
        <v>Educação, cultura e sociedade</v>
      </c>
      <c r="B357" s="24" t="str">
        <f>IFERROR(__xludf.DUMMYFUNCTION("""COMPUTED_VALUE"""),"organizador Marlon Tomazella")</f>
        <v>organizador Marlon Tomazella</v>
      </c>
      <c r="C357" s="24" t="str">
        <f>IFERROR(__xludf.DUMMYFUNCTION("""COMPUTED_VALUE"""),"João Pessoa")</f>
        <v>João Pessoa</v>
      </c>
      <c r="D357" s="24" t="str">
        <f>IFERROR(__xludf.DUMMYFUNCTION("""COMPUTED_VALUE"""),"Editora IFPB")</f>
        <v>Editora IFPB</v>
      </c>
      <c r="E357" s="25">
        <f>IFERROR(__xludf.DUMMYFUNCTION("""COMPUTED_VALUE"""),2019.0)</f>
        <v>2019</v>
      </c>
      <c r="F357" s="24" t="str">
        <f>IFERROR(__xludf.DUMMYFUNCTION("""COMPUTED_VALUE"""),"Educação profissional, científica e tecnológica; Rede Federal de Educação Profssional, Científca e Tecnológica; Cultura e sociedade")</f>
        <v>Educação profissional, científica e tecnológica; Rede Federal de Educação Profssional, Científca e Tecnológica; Cultura e sociedade</v>
      </c>
      <c r="G357" s="28" t="str">
        <f>IFERROR(__xludf.DUMMYFUNCTION("""COMPUTED_VALUE"""),"9788554490232")</f>
        <v>9788554490232</v>
      </c>
      <c r="H357" s="29" t="str">
        <f>IFERROR(__xludf.DUMMYFUNCTION("""COMPUTED_VALUE"""),"http://editora.ifpb.edu.br/index.php/ifpb/catalog/book/236")</f>
        <v>http://editora.ifpb.edu.br/index.php/ifpb/catalog/book/236</v>
      </c>
      <c r="I357" s="24" t="str">
        <f>IFERROR(__xludf.DUMMYFUNCTION("""COMPUTED_VALUE"""),"Ciências Humanas")</f>
        <v>Ciências Humanas</v>
      </c>
    </row>
    <row r="358">
      <c r="A358" s="24" t="str">
        <f>IFERROR(__xludf.DUMMYFUNCTION("""COMPUTED_VALUE"""),"Educação, diversidade e fronteiras da in/exclusão")</f>
        <v>Educação, diversidade e fronteiras da in/exclusão</v>
      </c>
      <c r="B358" s="24" t="str">
        <f>IFERROR(__xludf.DUMMYFUNCTION("""COMPUTED_VALUE"""),"Marilda Moraes Garcia Bruno e Renato Suttana, organizadores. ")</f>
        <v>Marilda Moraes Garcia Bruno e Renato Suttana, organizadores. </v>
      </c>
      <c r="C358" s="24" t="str">
        <f>IFERROR(__xludf.DUMMYFUNCTION("""COMPUTED_VALUE"""),"Dourados, MS")</f>
        <v>Dourados, MS</v>
      </c>
      <c r="D358" s="24" t="str">
        <f>IFERROR(__xludf.DUMMYFUNCTION("""COMPUTED_VALUE"""),"Editora da UFGD")</f>
        <v>Editora da UFGD</v>
      </c>
      <c r="E358" s="25">
        <f>IFERROR(__xludf.DUMMYFUNCTION("""COMPUTED_VALUE"""),2012.0)</f>
        <v>2012</v>
      </c>
      <c r="F358" s="24" t="str">
        <f>IFERROR(__xludf.DUMMYFUNCTION("""COMPUTED_VALUE"""),"Educação; Diversidade; Interculturalidade; Educação especial indígena; Políticas públicas; Inclusão escolar")</f>
        <v>Educação; Diversidade; Interculturalidade; Educação especial indígena; Políticas públicas; Inclusão escolar</v>
      </c>
      <c r="G358" s="28" t="str">
        <f>IFERROR(__xludf.DUMMYFUNCTION("""COMPUTED_VALUE"""),"9788581470238")</f>
        <v>9788581470238</v>
      </c>
      <c r="H358" s="29" t="str">
        <f>IFERROR(__xludf.DUMMYFUNCTION("""COMPUTED_VALUE"""),"http://omp.ufgd.edu.br/omp/index.php/livrosabertos/catalog/view/91/98/374-1")</f>
        <v>http://omp.ufgd.edu.br/omp/index.php/livrosabertos/catalog/view/91/98/374-1</v>
      </c>
      <c r="I358" s="24" t="str">
        <f>IFERROR(__xludf.DUMMYFUNCTION("""COMPUTED_VALUE"""),"Ciências Humanas")</f>
        <v>Ciências Humanas</v>
      </c>
    </row>
    <row r="359">
      <c r="A359" s="24" t="str">
        <f>IFERROR(__xludf.DUMMYFUNCTION("""COMPUTED_VALUE"""),"Educação, relações de gênero e movimentos sociais: um diálogo necessário. ")</f>
        <v>Educação, relações de gênero e movimentos sociais: um diálogo necessário. </v>
      </c>
      <c r="B359" s="24" t="str">
        <f>IFERROR(__xludf.DUMMYFUNCTION("""COMPUTED_VALUE"""),"Alzira Salete Menegat, Losandro Antonio Tedeschi, Marisa de Fátima Lomba de Farias, organizadores.")</f>
        <v>Alzira Salete Menegat, Losandro Antonio Tedeschi, Marisa de Fátima Lomba de Farias, organizadores.</v>
      </c>
      <c r="C359" s="24" t="str">
        <f>IFERROR(__xludf.DUMMYFUNCTION("""COMPUTED_VALUE"""),"Dourados, MS")</f>
        <v>Dourados, MS</v>
      </c>
      <c r="D359" s="24" t="str">
        <f>IFERROR(__xludf.DUMMYFUNCTION("""COMPUTED_VALUE"""),"Editora da UFGD")</f>
        <v>Editora da UFGD</v>
      </c>
      <c r="E359" s="25">
        <f>IFERROR(__xludf.DUMMYFUNCTION("""COMPUTED_VALUE"""),2009.0)</f>
        <v>2009</v>
      </c>
      <c r="F359" s="24" t="str">
        <f>IFERROR(__xludf.DUMMYFUNCTION("""COMPUTED_VALUE"""),"Relações de gêneros. 2 Movimentos sociais; Sociologia educacional; Interdisciplinaridade ")</f>
        <v>Relações de gêneros. 2 Movimentos sociais; Sociologia educacional; Interdisciplinaridade </v>
      </c>
      <c r="G359" s="28" t="str">
        <f>IFERROR(__xludf.DUMMYFUNCTION("""COMPUTED_VALUE"""),"9788561228538")</f>
        <v>9788561228538</v>
      </c>
      <c r="H359" s="29" t="str">
        <f>IFERROR(__xludf.DUMMYFUNCTION("""COMPUTED_VALUE"""),"http://omp.ufgd.edu.br/omp/index.php/livrosabertos/catalog/view/92/99/375-1")</f>
        <v>http://omp.ufgd.edu.br/omp/index.php/livrosabertos/catalog/view/92/99/375-1</v>
      </c>
      <c r="I359" s="24" t="str">
        <f>IFERROR(__xludf.DUMMYFUNCTION("""COMPUTED_VALUE"""),"Ciências Humanas")</f>
        <v>Ciências Humanas</v>
      </c>
    </row>
    <row r="360">
      <c r="A360" s="24" t="str">
        <f>IFERROR(__xludf.DUMMYFUNCTION("""COMPUTED_VALUE"""),"EdUERJ 1994-2019 (Edição comemorativa de 25 anos)")</f>
        <v>EdUERJ 1994-2019 (Edição comemorativa de 25 anos)</v>
      </c>
      <c r="B360" s="24" t="str">
        <f>IFERROR(__xludf.DUMMYFUNCTION("""COMPUTED_VALUE"""),"Universidade do Estado do Rio de Janeiro")</f>
        <v>Universidade do Estado do Rio de Janeiro</v>
      </c>
      <c r="C360" s="24" t="str">
        <f>IFERROR(__xludf.DUMMYFUNCTION("""COMPUTED_VALUE"""),"Rio de Janeiro")</f>
        <v>Rio de Janeiro</v>
      </c>
      <c r="D360" s="24" t="str">
        <f>IFERROR(__xludf.DUMMYFUNCTION("""COMPUTED_VALUE"""),"EdUERJ")</f>
        <v>EdUERJ</v>
      </c>
      <c r="E360" s="25">
        <f>IFERROR(__xludf.DUMMYFUNCTION("""COMPUTED_VALUE"""),2019.0)</f>
        <v>2019</v>
      </c>
      <c r="F360" s="24" t="str">
        <f>IFERROR(__xludf.DUMMYFUNCTION("""COMPUTED_VALUE"""),"Editora da Universidade do Estado do Rio de Janeiro; Bibliografia; Editoras universitárias ")</f>
        <v>Editora da Universidade do Estado do Rio de Janeiro; Bibliografia; Editoras universitárias </v>
      </c>
      <c r="G360" s="28" t="str">
        <f>IFERROR(__xludf.DUMMYFUNCTION("""COMPUTED_VALUE"""),"9788575115084")</f>
        <v>9788575115084</v>
      </c>
      <c r="H360" s="29" t="str">
        <f>IFERROR(__xludf.DUMMYFUNCTION("""COMPUTED_VALUE"""),"https://www.eduerj.com/eng/?product=eduerj-25-anos")</f>
        <v>https://www.eduerj.com/eng/?product=eduerj-25-anos</v>
      </c>
      <c r="I360" s="24" t="str">
        <f>IFERROR(__xludf.DUMMYFUNCTION("""COMPUTED_VALUE"""),"Ciências Humanas")</f>
        <v>Ciências Humanas</v>
      </c>
    </row>
    <row r="361">
      <c r="A361" s="24" t="str">
        <f>IFERROR(__xludf.DUMMYFUNCTION("""COMPUTED_VALUE"""),"EJA, DIVERSIDADE E INCLUSÃO: reflexões (im)pertinentes")</f>
        <v>EJA, DIVERSIDADE E INCLUSÃO: reflexões (im)pertinentes</v>
      </c>
      <c r="B361" s="24" t="str">
        <f>IFERROR(__xludf.DUMMYFUNCTION("""COMPUTED_VALUE"""),"Renata Monteiro Garcia; Marluce Pereira Silva")</f>
        <v>Renata Monteiro Garcia; Marluce Pereira Silva</v>
      </c>
      <c r="C361" s="24" t="str">
        <f>IFERROR(__xludf.DUMMYFUNCTION("""COMPUTED_VALUE"""),"João Pessoa")</f>
        <v>João Pessoa</v>
      </c>
      <c r="D361" s="24" t="str">
        <f>IFERROR(__xludf.DUMMYFUNCTION("""COMPUTED_VALUE"""),"Editora da UFPB")</f>
        <v>Editora da UFPB</v>
      </c>
      <c r="E361" s="25">
        <f>IFERROR(__xludf.DUMMYFUNCTION("""COMPUTED_VALUE"""),2019.0)</f>
        <v>2019</v>
      </c>
      <c r="F361" s="24" t="str">
        <f>IFERROR(__xludf.DUMMYFUNCTION("""COMPUTED_VALUE"""),"Educação - Jovens e adultos. Alfabetização - Jovens e adultos. Práticas Pedagógicas – Educação de jovens e adultos")</f>
        <v>Educação - Jovens e adultos. Alfabetização - Jovens e adultos. Práticas Pedagógicas – Educação de jovens e adultos</v>
      </c>
      <c r="G361" s="28" t="str">
        <f>IFERROR(__xludf.DUMMYFUNCTION("""COMPUTED_VALUE"""),"9788523712983")</f>
        <v>9788523712983</v>
      </c>
      <c r="H361" s="29" t="str">
        <f>IFERROR(__xludf.DUMMYFUNCTION("""COMPUTED_VALUE"""),"http://www.editora.ufpb.br/sistema/press5/index.php/UFPB/catalog/book/139")</f>
        <v>http://www.editora.ufpb.br/sistema/press5/index.php/UFPB/catalog/book/139</v>
      </c>
      <c r="I361" s="24" t="str">
        <f>IFERROR(__xludf.DUMMYFUNCTION("""COMPUTED_VALUE"""),"Ciências Humanas")</f>
        <v>Ciências Humanas</v>
      </c>
    </row>
    <row r="362">
      <c r="A362" s="24" t="str">
        <f>IFERROR(__xludf.DUMMYFUNCTION("""COMPUTED_VALUE"""),"Eleições, opinião pública e comunicação política no Brasil contemporâneo: homenagem a Marcus Figueiredo")</f>
        <v>Eleições, opinião pública e comunicação política no Brasil contemporâneo: homenagem a Marcus Figueiredo</v>
      </c>
      <c r="B362" s="24" t="str">
        <f>IFERROR(__xludf.DUMMYFUNCTION("""COMPUTED_VALUE"""),"Organização Felipe Borba, Alessandra Aldé")</f>
        <v>Organização Felipe Borba, Alessandra Aldé</v>
      </c>
      <c r="C362" s="24" t="str">
        <f>IFERROR(__xludf.DUMMYFUNCTION("""COMPUTED_VALUE"""),"Rio de Janeiro")</f>
        <v>Rio de Janeiro</v>
      </c>
      <c r="D362" s="24" t="str">
        <f>IFERROR(__xludf.DUMMYFUNCTION("""COMPUTED_VALUE"""),"EdUERJ")</f>
        <v>EdUERJ</v>
      </c>
      <c r="E362" s="25">
        <f>IFERROR(__xludf.DUMMYFUNCTION("""COMPUTED_VALUE"""),2017.0)</f>
        <v>2017</v>
      </c>
      <c r="F362" s="24" t="str">
        <f>IFERROR(__xludf.DUMMYFUNCTION("""COMPUTED_VALUE"""),"Marcus Figueiredo; Ciência política; Comunicação política; Eleições; Opinião pública")</f>
        <v>Marcus Figueiredo; Ciência política; Comunicação política; Eleições; Opinião pública</v>
      </c>
      <c r="G362" s="28" t="str">
        <f>IFERROR(__xludf.DUMMYFUNCTION("""COMPUTED_VALUE"""),"9788575114353")</f>
        <v>9788575114353</v>
      </c>
      <c r="H362" s="29" t="str">
        <f>IFERROR(__xludf.DUMMYFUNCTION("""COMPUTED_VALUE"""),"https://www.eduerj.com/eng/?product=eleicoes-opiniao-publica-e-comunicacao-politica-no-brasil-contemporaneo-homenagem-a-marcus-figueiredo-ebook")</f>
        <v>https://www.eduerj.com/eng/?product=eleicoes-opiniao-publica-e-comunicacao-politica-no-brasil-contemporaneo-homenagem-a-marcus-figueiredo-ebook</v>
      </c>
      <c r="I362" s="24" t="str">
        <f>IFERROR(__xludf.DUMMYFUNCTION("""COMPUTED_VALUE"""),"Ciências Humanas")</f>
        <v>Ciências Humanas</v>
      </c>
    </row>
    <row r="363">
      <c r="A363" s="24" t="str">
        <f>IFERROR(__xludf.DUMMYFUNCTION("""COMPUTED_VALUE"""),"Em busca da boa sociedade")</f>
        <v>Em busca da boa sociedade</v>
      </c>
      <c r="B363" s="24" t="str">
        <f>IFERROR(__xludf.DUMMYFUNCTION("""COMPUTED_VALUE"""),"Selene Herculano")</f>
        <v>Selene Herculano</v>
      </c>
      <c r="C363" s="24" t="str">
        <f>IFERROR(__xludf.DUMMYFUNCTION("""COMPUTED_VALUE"""),"Niterói, RJ")</f>
        <v>Niterói, RJ</v>
      </c>
      <c r="D363" s="24" t="str">
        <f>IFERROR(__xludf.DUMMYFUNCTION("""COMPUTED_VALUE"""),"EDUFF")</f>
        <v>EDUFF</v>
      </c>
      <c r="E363" s="25">
        <f>IFERROR(__xludf.DUMMYFUNCTION("""COMPUTED_VALUE"""),2006.0)</f>
        <v>2006</v>
      </c>
      <c r="F363" s="24" t="str">
        <f>IFERROR(__xludf.DUMMYFUNCTION("""COMPUTED_VALUE"""),"Sociologia; Sociedade")</f>
        <v>Sociologia; Sociedade</v>
      </c>
      <c r="G363" s="26"/>
      <c r="H363" s="29" t="str">
        <f>IFERROR(__xludf.DUMMYFUNCTION("""COMPUTED_VALUE"""),"http://www.eduff.uff.br/ebooks/Em-busca-da-boa-sociedade.pdf")</f>
        <v>http://www.eduff.uff.br/ebooks/Em-busca-da-boa-sociedade.pdf</v>
      </c>
      <c r="I363" s="24" t="str">
        <f>IFERROR(__xludf.DUMMYFUNCTION("""COMPUTED_VALUE"""),"Ciências Humanas")</f>
        <v>Ciências Humanas</v>
      </c>
    </row>
    <row r="364">
      <c r="A364" s="24" t="str">
        <f>IFERROR(__xludf.DUMMYFUNCTION("""COMPUTED_VALUE"""),"Em Busca de Novos Talentos: Experiências pedagógicas na interação universidade e educação básica")</f>
        <v>Em Busca de Novos Talentos: Experiências pedagógicas na interação universidade e educação básica</v>
      </c>
      <c r="B364" s="24" t="str">
        <f>IFERROR(__xludf.DUMMYFUNCTION("""COMPUTED_VALUE"""),"Célia Maria Fernandes Nubes; Kerley dos Santos Alves")</f>
        <v>Célia Maria Fernandes Nubes; Kerley dos Santos Alves</v>
      </c>
      <c r="C364" s="24" t="str">
        <f>IFERROR(__xludf.DUMMYFUNCTION("""COMPUTED_VALUE"""),"Ouro Preto")</f>
        <v>Ouro Preto</v>
      </c>
      <c r="D364" s="24" t="str">
        <f>IFERROR(__xludf.DUMMYFUNCTION("""COMPUTED_VALUE"""),"UFOP")</f>
        <v>UFOP</v>
      </c>
      <c r="E364" s="25">
        <f>IFERROR(__xludf.DUMMYFUNCTION("""COMPUTED_VALUE"""),2014.0)</f>
        <v>2014</v>
      </c>
      <c r="F364" s="24" t="str">
        <f>IFERROR(__xludf.DUMMYFUNCTION("""COMPUTED_VALUE"""),"Ensino fundamental. Prática de ensino. Ensino superior-ciclo básico")</f>
        <v>Ensino fundamental. Prática de ensino. Ensino superior-ciclo básico</v>
      </c>
      <c r="G364" s="28" t="str">
        <f>IFERROR(__xludf.DUMMYFUNCTION("""COMPUTED_VALUE"""),"9788528803334")</f>
        <v>9788528803334</v>
      </c>
      <c r="H364" s="29" t="str">
        <f>IFERROR(__xludf.DUMMYFUNCTION("""COMPUTED_VALUE"""),"https://www.editora.ufop.br/index.php/editora/catalog/view/139/112/366-1")</f>
        <v>https://www.editora.ufop.br/index.php/editora/catalog/view/139/112/366-1</v>
      </c>
      <c r="I364" s="24" t="str">
        <f>IFERROR(__xludf.DUMMYFUNCTION("""COMPUTED_VALUE"""),"Ciências Humanas")</f>
        <v>Ciências Humanas</v>
      </c>
    </row>
    <row r="365">
      <c r="A365" s="24" t="str">
        <f>IFERROR(__xludf.DUMMYFUNCTION("""COMPUTED_VALUE"""),"Em formação: cadernos de iniciação científica e tecnológica do IFG")</f>
        <v>Em formação: cadernos de iniciação científica e tecnológica do IFG</v>
      </c>
      <c r="B365" s="24"/>
      <c r="C365" s="24" t="str">
        <f>IFERROR(__xludf.DUMMYFUNCTION("""COMPUTED_VALUE"""),"Goiânia, GO")</f>
        <v>Goiânia, GO</v>
      </c>
      <c r="D365" s="24" t="str">
        <f>IFERROR(__xludf.DUMMYFUNCTION("""COMPUTED_VALUE"""),"Editora IFG")</f>
        <v>Editora IFG</v>
      </c>
      <c r="E365" s="25">
        <f>IFERROR(__xludf.DUMMYFUNCTION("""COMPUTED_VALUE"""),2015.0)</f>
        <v>2015</v>
      </c>
      <c r="F365" s="24" t="str">
        <f>IFERROR(__xludf.DUMMYFUNCTION("""COMPUTED_VALUE"""),"Iniciação científica e tecnológica; Pesquisa- iniciação científica; Pesquisa- iniciação tecnológica; Formação educacional")</f>
        <v>Iniciação científica e tecnológica; Pesquisa- iniciação científica; Pesquisa- iniciação tecnológica; Formação educacional</v>
      </c>
      <c r="G365" s="28" t="str">
        <f>IFERROR(__xludf.DUMMYFUNCTION("""COMPUTED_VALUE"""),"9788567022123")</f>
        <v>9788567022123</v>
      </c>
      <c r="H365" s="29" t="str">
        <f>IFERROR(__xludf.DUMMYFUNCTION("""COMPUTED_VALUE"""),"https://editora.ifg.edu.br/editoraifg/catalog/view/5/3/13-4")</f>
        <v>https://editora.ifg.edu.br/editoraifg/catalog/view/5/3/13-4</v>
      </c>
      <c r="I365" s="24" t="str">
        <f>IFERROR(__xludf.DUMMYFUNCTION("""COMPUTED_VALUE"""),"Ciências Humanas")</f>
        <v>Ciências Humanas</v>
      </c>
    </row>
    <row r="366">
      <c r="A366" s="24" t="str">
        <f>IFERROR(__xludf.DUMMYFUNCTION("""COMPUTED_VALUE"""),"Em.formação: cadernos de iniciação científica e tecnológica do IFG; 2 - Destaques 2014–2015")</f>
        <v>Em.formação: cadernos de iniciação científica e tecnológica do IFG; 2 - Destaques 2014–2015</v>
      </c>
      <c r="B366" s="24" t="str">
        <f>IFERROR(__xludf.DUMMYFUNCTION("""COMPUTED_VALUE"""),"Brasil. Instituto Federal de Educação, Ciência e Tecnologia de Goiás.")</f>
        <v>Brasil. Instituto Federal de Educação, Ciência e Tecnologia de Goiás.</v>
      </c>
      <c r="C366" s="24" t="str">
        <f>IFERROR(__xludf.DUMMYFUNCTION("""COMPUTED_VALUE"""),"Goiânia, GO")</f>
        <v>Goiânia, GO</v>
      </c>
      <c r="D366" s="24" t="str">
        <f>IFERROR(__xludf.DUMMYFUNCTION("""COMPUTED_VALUE"""),"Editora IFG")</f>
        <v>Editora IFG</v>
      </c>
      <c r="E366" s="25">
        <f>IFERROR(__xludf.DUMMYFUNCTION("""COMPUTED_VALUE"""),2016.0)</f>
        <v>2016</v>
      </c>
      <c r="F366" s="24" t="str">
        <f>IFERROR(__xludf.DUMMYFUNCTION("""COMPUTED_VALUE"""),"Iniciação científica e tecnológica; Pesquisa- iniciação científica; Pesquisa- iniciação tecnológica; Formação educacional")</f>
        <v>Iniciação científica e tecnológica; Pesquisa- iniciação científica; Pesquisa- iniciação tecnológica; Formação educacional</v>
      </c>
      <c r="G366" s="28" t="str">
        <f>IFERROR(__xludf.DUMMYFUNCTION("""COMPUTED_VALUE"""),"9788567022147")</f>
        <v>9788567022147</v>
      </c>
      <c r="H366" s="29" t="str">
        <f>IFERROR(__xludf.DUMMYFUNCTION("""COMPUTED_VALUE"""),"https://editora.ifg.edu.br/editoraifg/catalog/view/6/4/35-1")</f>
        <v>https://editora.ifg.edu.br/editoraifg/catalog/view/6/4/35-1</v>
      </c>
      <c r="I366" s="24" t="str">
        <f>IFERROR(__xludf.DUMMYFUNCTION("""COMPUTED_VALUE"""),"Ciências Humanas")</f>
        <v>Ciências Humanas</v>
      </c>
    </row>
    <row r="367">
      <c r="A367" s="24" t="str">
        <f>IFERROR(__xludf.DUMMYFUNCTION("""COMPUTED_VALUE"""),"Embaixadores de dois reinos Missionários e fronteiras na região amazônico-caribenha — coleção olhares —")</f>
        <v>Embaixadores de dois reinos Missionários e fronteiras na região amazônico-caribenha — coleção olhares —</v>
      </c>
      <c r="B367" s="24" t="str">
        <f>IFERROR(__xludf.DUMMYFUNCTION("""COMPUTED_VALUE"""),"Eduardo Gusmão de Quadros")</f>
        <v>Eduardo Gusmão de Quadros</v>
      </c>
      <c r="C367" s="24" t="str">
        <f>IFERROR(__xludf.DUMMYFUNCTION("""COMPUTED_VALUE"""),"Anápolis")</f>
        <v>Anápolis</v>
      </c>
      <c r="D367" s="24" t="str">
        <f>IFERROR(__xludf.DUMMYFUNCTION("""COMPUTED_VALUE"""),"UEG")</f>
        <v>UEG</v>
      </c>
      <c r="E367" s="25">
        <f>IFERROR(__xludf.DUMMYFUNCTION("""COMPUTED_VALUE"""),2010.0)</f>
        <v>2010</v>
      </c>
      <c r="F367" s="24" t="str">
        <f>IFERROR(__xludf.DUMMYFUNCTION("""COMPUTED_VALUE"""),"Literatura religiosa")</f>
        <v>Literatura religiosa</v>
      </c>
      <c r="G367" s="28" t="str">
        <f>IFERROR(__xludf.DUMMYFUNCTION("""COMPUTED_VALUE"""),"9788563192073")</f>
        <v>9788563192073</v>
      </c>
      <c r="H367" s="29" t="str">
        <f>IFERROR(__xludf.DUMMYFUNCTION("""COMPUTED_VALUE"""),"http://cdn.ueg.edu.br/source/editora_ueg/conteudoN/4946/pdf_colecao_olhares/livro03_eduardo_gusmao.pdf")</f>
        <v>http://cdn.ueg.edu.br/source/editora_ueg/conteudoN/4946/pdf_colecao_olhares/livro03_eduardo_gusmao.pdf</v>
      </c>
      <c r="I367" s="24" t="str">
        <f>IFERROR(__xludf.DUMMYFUNCTION("""COMPUTED_VALUE"""),"Ciências Humanas")</f>
        <v>Ciências Humanas</v>
      </c>
    </row>
    <row r="368">
      <c r="A368" s="24" t="str">
        <f>IFERROR(__xludf.DUMMYFUNCTION("""COMPUTED_VALUE"""),"Encontros com Moçambique")</f>
        <v>Encontros com Moçambique</v>
      </c>
      <c r="B368" s="24" t="str">
        <f>IFERROR(__xludf.DUMMYFUNCTION("""COMPUTED_VALUE"""),"ORGANIZAÇÃO; Carolina Maíra Gomes Morais; Matheus Serva Pereira; Regiane Augusto de Mattos")</f>
        <v>ORGANIZAÇÃO; Carolina Maíra Gomes Morais; Matheus Serva Pereira; Regiane Augusto de Mattos</v>
      </c>
      <c r="C368" s="24" t="str">
        <f>IFERROR(__xludf.DUMMYFUNCTION("""COMPUTED_VALUE"""),"Rio de Janeiro")</f>
        <v>Rio de Janeiro</v>
      </c>
      <c r="D368" s="24" t="str">
        <f>IFERROR(__xludf.DUMMYFUNCTION("""COMPUTED_VALUE"""),"Editora PUC Rio")</f>
        <v>Editora PUC Rio</v>
      </c>
      <c r="E368" s="25">
        <f>IFERROR(__xludf.DUMMYFUNCTION("""COMPUTED_VALUE"""),2016.0)</f>
        <v>2016</v>
      </c>
      <c r="F368" s="24" t="str">
        <f>IFERROR(__xludf.DUMMYFUNCTION("""COMPUTED_VALUE"""),"Moçambique – História. Moçambique – Política e governo. Moçambique – Condições sociais")</f>
        <v>Moçambique – História. Moçambique – Política e governo. Moçambique – Condições sociais</v>
      </c>
      <c r="G368" s="28" t="str">
        <f>IFERROR(__xludf.DUMMYFUNCTION("""COMPUTED_VALUE"""),"9788580062083")</f>
        <v>9788580062083</v>
      </c>
      <c r="H368" s="29" t="str">
        <f>IFERROR(__xludf.DUMMYFUNCTION("""COMPUTED_VALUE"""),"http://www.editora.puc-rio.br/media/Encontros%20com%20Mo%C3%A7ambique%20(e-book).pdf")</f>
        <v>http://www.editora.puc-rio.br/media/Encontros%20com%20Mo%C3%A7ambique%20(e-book).pdf</v>
      </c>
      <c r="I368" s="24" t="str">
        <f>IFERROR(__xludf.DUMMYFUNCTION("""COMPUTED_VALUE"""),"Ciências Humanas")</f>
        <v>Ciências Humanas</v>
      </c>
    </row>
    <row r="369">
      <c r="A369" s="24" t="str">
        <f>IFERROR(__xludf.DUMMYFUNCTION("""COMPUTED_VALUE"""),"Encontros no encontro: participação social da rede nacional dos pontos de cultura")</f>
        <v>Encontros no encontro: participação social da rede nacional dos pontos de cultura</v>
      </c>
      <c r="B369" s="24" t="str">
        <f>IFERROR(__xludf.DUMMYFUNCTION("""COMPUTED_VALUE"""),"Instituto Federal de Educação, Ciência e Tecnologia de Goiás")</f>
        <v>Instituto Federal de Educação, Ciência e Tecnologia de Goiás</v>
      </c>
      <c r="C369" s="24" t="str">
        <f>IFERROR(__xludf.DUMMYFUNCTION("""COMPUTED_VALUE"""),"Goiânia, GO")</f>
        <v>Goiânia, GO</v>
      </c>
      <c r="D369" s="24" t="str">
        <f>IFERROR(__xludf.DUMMYFUNCTION("""COMPUTED_VALUE"""),"Editora IFG")</f>
        <v>Editora IFG</v>
      </c>
      <c r="E369" s="25">
        <f>IFERROR(__xludf.DUMMYFUNCTION("""COMPUTED_VALUE"""),2016.0)</f>
        <v>2016</v>
      </c>
      <c r="F369" s="24" t="str">
        <f>IFERROR(__xludf.DUMMYFUNCTION("""COMPUTED_VALUE"""),"Cultura; Diversidade; Antropologia; Extensão")</f>
        <v>Cultura; Diversidade; Antropologia; Extensão</v>
      </c>
      <c r="G369" s="26"/>
      <c r="H369" s="29" t="str">
        <f>IFERROR(__xludf.DUMMYFUNCTION("""COMPUTED_VALUE"""),"https://editora.ifg.edu.br/editoraifg/catalog/view/19/15/51-1")</f>
        <v>https://editora.ifg.edu.br/editoraifg/catalog/view/19/15/51-1</v>
      </c>
      <c r="I369" s="24" t="str">
        <f>IFERROR(__xludf.DUMMYFUNCTION("""COMPUTED_VALUE"""),"Ciências Humanas")</f>
        <v>Ciências Humanas</v>
      </c>
    </row>
    <row r="370">
      <c r="A370" s="24" t="str">
        <f>IFERROR(__xludf.DUMMYFUNCTION("""COMPUTED_VALUE"""),"Ensaios de Fenomenologia: ontologia e estética")</f>
        <v>Ensaios de Fenomenologia: ontologia e estética</v>
      </c>
      <c r="B370" s="24" t="str">
        <f>IFERROR(__xludf.DUMMYFUNCTION("""COMPUTED_VALUE"""),"José Luiz Furtado")</f>
        <v>José Luiz Furtado</v>
      </c>
      <c r="C370" s="24" t="str">
        <f>IFERROR(__xludf.DUMMYFUNCTION("""COMPUTED_VALUE"""),"Ouro Preto")</f>
        <v>Ouro Preto</v>
      </c>
      <c r="D370" s="24" t="str">
        <f>IFERROR(__xludf.DUMMYFUNCTION("""COMPUTED_VALUE"""),"UFOP")</f>
        <v>UFOP</v>
      </c>
      <c r="E370" s="25">
        <f>IFERROR(__xludf.DUMMYFUNCTION("""COMPUTED_VALUE"""),2015.0)</f>
        <v>2015</v>
      </c>
      <c r="F370" s="24" t="str">
        <f>IFERROR(__xludf.DUMMYFUNCTION("""COMPUTED_VALUE"""),"Filosofia. Fenomenologia e arte. Ontologia.Estética")</f>
        <v>Filosofia. Fenomenologia e arte. Ontologia.Estética</v>
      </c>
      <c r="G370" s="28" t="str">
        <f>IFERROR(__xludf.DUMMYFUNCTION("""COMPUTED_VALUE"""),"9788528803426")</f>
        <v>9788528803426</v>
      </c>
      <c r="H370" s="29" t="str">
        <f>IFERROR(__xludf.DUMMYFUNCTION("""COMPUTED_VALUE"""),"https://www.editora.ufop.br/index.php/editora/catalog/view/16/6/27-1")</f>
        <v>https://www.editora.ufop.br/index.php/editora/catalog/view/16/6/27-1</v>
      </c>
      <c r="I370" s="24" t="str">
        <f>IFERROR(__xludf.DUMMYFUNCTION("""COMPUTED_VALUE"""),"Ciências Humanas")</f>
        <v>Ciências Humanas</v>
      </c>
    </row>
    <row r="371">
      <c r="A371" s="24" t="str">
        <f>IFERROR(__xludf.DUMMYFUNCTION("""COMPUTED_VALUE"""),"Ensaios etnográficos na Ilha de Santiago de Cabo Verde: processos identitários na contemporaneidade")</f>
        <v>Ensaios etnográficos na Ilha de Santiago de Cabo Verde: processos identitários na contemporaneidade</v>
      </c>
      <c r="B371" s="24" t="str">
        <f>IFERROR(__xludf.DUMMYFUNCTION("""COMPUTED_VALUE"""),"Lucas, Maria Elizabeth da Silva; Silva, Sergio Baptista da ")</f>
        <v>Lucas, Maria Elizabeth da Silva; Silva, Sergio Baptista da </v>
      </c>
      <c r="C371" s="24" t="str">
        <f>IFERROR(__xludf.DUMMYFUNCTION("""COMPUTED_VALUE"""),"Porto Alegre")</f>
        <v>Porto Alegre</v>
      </c>
      <c r="D371" s="24" t="str">
        <f>IFERROR(__xludf.DUMMYFUNCTION("""COMPUTED_VALUE"""),"UFRGS")</f>
        <v>UFRGS</v>
      </c>
      <c r="E371" s="25">
        <f>IFERROR(__xludf.DUMMYFUNCTION("""COMPUTED_VALUE"""),2009.0)</f>
        <v>2009</v>
      </c>
      <c r="F371" s="24" t="str">
        <f>IFERROR(__xludf.DUMMYFUNCTION("""COMPUTED_VALUE"""),"Antropologia social; Cabo Verde; Cultura; Etnografia; Gênero; Identidade social; Pertencimento; Trajetoria social")</f>
        <v>Antropologia social; Cabo Verde; Cultura; Etnografia; Gênero; Identidade social; Pertencimento; Trajetoria social</v>
      </c>
      <c r="G371" s="28" t="str">
        <f>IFERROR(__xludf.DUMMYFUNCTION("""COMPUTED_VALUE"""),"9789899613027 9788538600756")</f>
        <v>9789899613027 9788538600756</v>
      </c>
      <c r="H371" s="29" t="str">
        <f>IFERROR(__xludf.DUMMYFUNCTION("""COMPUTED_VALUE"""),"http://hdl.handle.net/10183/199999")</f>
        <v>http://hdl.handle.net/10183/199999</v>
      </c>
      <c r="I371" s="24" t="str">
        <f>IFERROR(__xludf.DUMMYFUNCTION("""COMPUTED_VALUE"""),"Ciências Humanas")</f>
        <v>Ciências Humanas</v>
      </c>
    </row>
    <row r="372">
      <c r="A372" s="24" t="str">
        <f>IFERROR(__xludf.DUMMYFUNCTION("""COMPUTED_VALUE"""),"Ensaios sobre fenomenologia: Husserl, Heidegger e Merleau-Ponty")</f>
        <v>Ensaios sobre fenomenologia: Husserl, Heidegger e Merleau-Ponty</v>
      </c>
      <c r="B372" s="24" t="str">
        <f>IFERROR(__xludf.DUMMYFUNCTION("""COMPUTED_VALUE"""),"Antonio Balbino Marçal Lima (org.)")</f>
        <v>Antonio Balbino Marçal Lima (org.)</v>
      </c>
      <c r="C372" s="24" t="str">
        <f>IFERROR(__xludf.DUMMYFUNCTION("""COMPUTED_VALUE"""),"Ilhéus, BA")</f>
        <v>Ilhéus, BA</v>
      </c>
      <c r="D372" s="24" t="str">
        <f>IFERROR(__xludf.DUMMYFUNCTION("""COMPUTED_VALUE"""),"Editus")</f>
        <v>Editus</v>
      </c>
      <c r="E372" s="25">
        <f>IFERROR(__xludf.DUMMYFUNCTION("""COMPUTED_VALUE"""),2014.0)</f>
        <v>2014</v>
      </c>
      <c r="F372" s="24" t="str">
        <f>IFERROR(__xludf.DUMMYFUNCTION("""COMPUTED_VALUE"""),"Fenomenologia; Filosofi a moderna; Husserl,; Edmund, 1859-1938; Heidegger, Martin, 1889-1976; Merleau-Ponty, Maurice, 1908-196")</f>
        <v>Fenomenologia; Filosofi a moderna; Husserl,; Edmund, 1859-1938; Heidegger, Martin, 1889-1976; Merleau-Ponty, Maurice, 1908-196</v>
      </c>
      <c r="G372" s="28" t="str">
        <f>IFERROR(__xludf.DUMMYFUNCTION("""COMPUTED_VALUE"""),"9788574553672")</f>
        <v>9788574553672</v>
      </c>
      <c r="H372" s="29" t="str">
        <f>IFERROR(__xludf.DUMMYFUNCTION("""COMPUTED_VALUE"""),"http://www.uesc.br/editora/livrosdigitais2019/ensaio_%20sobre_fenomenologia.pdf")</f>
        <v>http://www.uesc.br/editora/livrosdigitais2019/ensaio_%20sobre_fenomenologia.pdf</v>
      </c>
      <c r="I372" s="24" t="str">
        <f>IFERROR(__xludf.DUMMYFUNCTION("""COMPUTED_VALUE"""),"Ciências Humanas")</f>
        <v>Ciências Humanas</v>
      </c>
    </row>
    <row r="373">
      <c r="A373" s="24" t="str">
        <f>IFERROR(__xludf.DUMMYFUNCTION("""COMPUTED_VALUE"""),"Ensaios Sobre Questões Curriculares")</f>
        <v>Ensaios Sobre Questões Curriculares</v>
      </c>
      <c r="B373" s="24" t="str">
        <f>IFERROR(__xludf.DUMMYFUNCTION("""COMPUTED_VALUE"""),"Maria Zuleide da Costa Pereira, Ângela Cristina Alves Albino (organizadoras).")</f>
        <v>Maria Zuleide da Costa Pereira, Ângela Cristina Alves Albino (organizadoras).</v>
      </c>
      <c r="C373" s="24" t="str">
        <f>IFERROR(__xludf.DUMMYFUNCTION("""COMPUTED_VALUE"""),"João Pessoa")</f>
        <v>João Pessoa</v>
      </c>
      <c r="D373" s="24" t="str">
        <f>IFERROR(__xludf.DUMMYFUNCTION("""COMPUTED_VALUE"""),"Editora da UFPB")</f>
        <v>Editora da UFPB</v>
      </c>
      <c r="E373" s="25">
        <f>IFERROR(__xludf.DUMMYFUNCTION("""COMPUTED_VALUE"""),2014.0)</f>
        <v>2014</v>
      </c>
      <c r="F373" s="24" t="str">
        <f>IFERROR(__xludf.DUMMYFUNCTION("""COMPUTED_VALUE"""),"Educação; Políticas curriculares; Práticas curriculares; Políticas educacionais; Trabalho pedagógico")</f>
        <v>Educação; Políticas curriculares; Práticas curriculares; Políticas educacionais; Trabalho pedagógico</v>
      </c>
      <c r="G373" s="28" t="str">
        <f>IFERROR(__xludf.DUMMYFUNCTION("""COMPUTED_VALUE"""),"9788523708511")</f>
        <v>9788523708511</v>
      </c>
      <c r="H373" s="29" t="str">
        <f>IFERROR(__xludf.DUMMYFUNCTION("""COMPUTED_VALUE"""),"http://www.editora.ufpb.br/sistema/press5/index.php/UFPB/catalog/book/554")</f>
        <v>http://www.editora.ufpb.br/sistema/press5/index.php/UFPB/catalog/book/554</v>
      </c>
      <c r="I373" s="24" t="str">
        <f>IFERROR(__xludf.DUMMYFUNCTION("""COMPUTED_VALUE"""),"Ciências Humanas")</f>
        <v>Ciências Humanas</v>
      </c>
    </row>
    <row r="374">
      <c r="A374" s="24" t="str">
        <f>IFERROR(__xludf.DUMMYFUNCTION("""COMPUTED_VALUE"""),"Ensino de ciências e de biologia: reflexões e práticas.")</f>
        <v>Ensino de ciências e de biologia: reflexões e práticas.</v>
      </c>
      <c r="B374" s="24" t="str">
        <f>IFERROR(__xludf.DUMMYFUNCTION("""COMPUTED_VALUE"""),"Maria Rejane Lima Brandim; Johnson Fernandes Nogueira")</f>
        <v>Maria Rejane Lima Brandim; Johnson Fernandes Nogueira</v>
      </c>
      <c r="C374" s="24" t="str">
        <f>IFERROR(__xludf.DUMMYFUNCTION("""COMPUTED_VALUE"""),"Teresina")</f>
        <v>Teresina</v>
      </c>
      <c r="D374" s="24" t="str">
        <f>IFERROR(__xludf.DUMMYFUNCTION("""COMPUTED_VALUE"""),"EDUFPI")</f>
        <v>EDUFPI</v>
      </c>
      <c r="E374" s="25">
        <f>IFERROR(__xludf.DUMMYFUNCTION("""COMPUTED_VALUE"""),2018.0)</f>
        <v>2018</v>
      </c>
      <c r="F374" s="24" t="str">
        <f>IFERROR(__xludf.DUMMYFUNCTION("""COMPUTED_VALUE"""),"Ensino de Ciências; Ensino de Biologia; Educação Ambiental; Processo de Ensino e Aprendizagem")</f>
        <v>Ensino de Ciências; Ensino de Biologia; Educação Ambiental; Processo de Ensino e Aprendizagem</v>
      </c>
      <c r="G374" s="28" t="str">
        <f>IFERROR(__xludf.DUMMYFUNCTION("""COMPUTED_VALUE"""),"9788550903255")</f>
        <v>9788550903255</v>
      </c>
      <c r="H374" s="29" t="str">
        <f>IFERROR(__xludf.DUMMYFUNCTION("""COMPUTED_VALUE"""),"https://www.ufpi.br/arquivos_download/arquivos/EDUFPI/Livro_Brandim_MRL_Nogueira_JF_ECB_RP_120181113155152.pdf")</f>
        <v>https://www.ufpi.br/arquivos_download/arquivos/EDUFPI/Livro_Brandim_MRL_Nogueira_JF_ECB_RP_120181113155152.pdf</v>
      </c>
      <c r="I374" s="24" t="str">
        <f>IFERROR(__xludf.DUMMYFUNCTION("""COMPUTED_VALUE"""),"Ciências Humanas")</f>
        <v>Ciências Humanas</v>
      </c>
    </row>
    <row r="375">
      <c r="A375" s="24" t="str">
        <f>IFERROR(__xludf.DUMMYFUNCTION("""COMPUTED_VALUE"""),"Ensino de Ciências e educação para a saúde: uma proposta de abordagem")</f>
        <v>Ensino de Ciências e educação para a saúde: uma proposta de abordagem</v>
      </c>
      <c r="B375" s="24" t="str">
        <f>IFERROR(__xludf.DUMMYFUNCTION("""COMPUTED_VALUE"""),"Hiraldo Serra (org.) ")</f>
        <v>Hiraldo Serra (org.) </v>
      </c>
      <c r="C375" s="24" t="str">
        <f>IFERROR(__xludf.DUMMYFUNCTION("""COMPUTED_VALUE"""),"Dourados, MS")</f>
        <v>Dourados, MS</v>
      </c>
      <c r="D375" s="24" t="str">
        <f>IFERROR(__xludf.DUMMYFUNCTION("""COMPUTED_VALUE"""),"Ed. UFGD")</f>
        <v>Ed. UFGD</v>
      </c>
      <c r="E375" s="25">
        <f>IFERROR(__xludf.DUMMYFUNCTION("""COMPUTED_VALUE"""),2013.0)</f>
        <v>2013</v>
      </c>
      <c r="F375" s="24" t="str">
        <f>IFERROR(__xludf.DUMMYFUNCTION("""COMPUTED_VALUE"""),"Ciências (Ensino Fundamental); Educação Infantil")</f>
        <v>Ciências (Ensino Fundamental); Educação Infantil</v>
      </c>
      <c r="G375" s="28" t="str">
        <f>IFERROR(__xludf.DUMMYFUNCTION("""COMPUTED_VALUE"""),"9788581470351")</f>
        <v>9788581470351</v>
      </c>
      <c r="H375" s="29" t="str">
        <f>IFERROR(__xludf.DUMMYFUNCTION("""COMPUTED_VALUE"""),"http://omp.ufgd.edu.br/omp/index.php/livrosabertos/catalog/view/94/101/377-1")</f>
        <v>http://omp.ufgd.edu.br/omp/index.php/livrosabertos/catalog/view/94/101/377-1</v>
      </c>
      <c r="I375" s="24" t="str">
        <f>IFERROR(__xludf.DUMMYFUNCTION("""COMPUTED_VALUE"""),"Ciências Humanas")</f>
        <v>Ciências Humanas</v>
      </c>
    </row>
    <row r="376">
      <c r="A376" s="24" t="str">
        <f>IFERROR(__xludf.DUMMYFUNCTION("""COMPUTED_VALUE"""),"Ensino de ciências e matemática: do mundo das ideias à sala de aula")</f>
        <v>Ensino de ciências e matemática: do mundo das ideias à sala de aula</v>
      </c>
      <c r="B376" s="24" t="str">
        <f>IFERROR(__xludf.DUMMYFUNCTION("""COMPUTED_VALUE"""),"Organização Luciene Lima de Assis Pires, Marta João Francisco Silva Souza, Rodrigo Claudino Diogo.")</f>
        <v>Organização Luciene Lima de Assis Pires, Marta João Francisco Silva Souza, Rodrigo Claudino Diogo.</v>
      </c>
      <c r="C376" s="24" t="str">
        <f>IFERROR(__xludf.DUMMYFUNCTION("""COMPUTED_VALUE"""),"Goiânia, GO")</f>
        <v>Goiânia, GO</v>
      </c>
      <c r="D376" s="24" t="str">
        <f>IFERROR(__xludf.DUMMYFUNCTION("""COMPUTED_VALUE"""),"Editora IFG")</f>
        <v>Editora IFG</v>
      </c>
      <c r="E376" s="25">
        <f>IFERROR(__xludf.DUMMYFUNCTION("""COMPUTED_VALUE"""),2017.0)</f>
        <v>2017</v>
      </c>
      <c r="F376" s="24" t="str">
        <f>IFERROR(__xludf.DUMMYFUNCTION("""COMPUTED_VALUE"""),"Ensino de Ciências e Matemática; Pesquisa - Educação; Processo ensino-aprendizagem; Formação educacional")</f>
        <v>Ensino de Ciências e Matemática; Pesquisa - Educação; Processo ensino-aprendizagem; Formação educacional</v>
      </c>
      <c r="G376" s="28" t="str">
        <f>IFERROR(__xludf.DUMMYFUNCTION("""COMPUTED_VALUE"""),"9788567022130")</f>
        <v>9788567022130</v>
      </c>
      <c r="H376" s="29" t="str">
        <f>IFERROR(__xludf.DUMMYFUNCTION("""COMPUTED_VALUE"""),"https://editora.ifg.edu.br/editoraifg/catalog/view/7/6/25-2")</f>
        <v>https://editora.ifg.edu.br/editoraifg/catalog/view/7/6/25-2</v>
      </c>
      <c r="I376" s="24" t="str">
        <f>IFERROR(__xludf.DUMMYFUNCTION("""COMPUTED_VALUE"""),"Ciências Humanas")</f>
        <v>Ciências Humanas</v>
      </c>
    </row>
    <row r="377">
      <c r="A377" s="24" t="str">
        <f>IFERROR(__xludf.DUMMYFUNCTION("""COMPUTED_VALUE"""),"Ensino de ciências: relatos e pesquisas no panorama piauiense")</f>
        <v>Ensino de ciências: relatos e pesquisas no panorama piauiense</v>
      </c>
      <c r="B377" s="24" t="str">
        <f>IFERROR(__xludf.DUMMYFUNCTION("""COMPUTED_VALUE"""),"Luciana Barboza SIlva; Marcelo Bruno Araújo Queiroz (org.)")</f>
        <v>Luciana Barboza SIlva; Marcelo Bruno Araújo Queiroz (org.)</v>
      </c>
      <c r="C377" s="24" t="str">
        <f>IFERROR(__xludf.DUMMYFUNCTION("""COMPUTED_VALUE"""),"Teresina")</f>
        <v>Teresina</v>
      </c>
      <c r="D377" s="24" t="str">
        <f>IFERROR(__xludf.DUMMYFUNCTION("""COMPUTED_VALUE"""),"EDUFPI")</f>
        <v>EDUFPI</v>
      </c>
      <c r="E377" s="25">
        <f>IFERROR(__xludf.DUMMYFUNCTION("""COMPUTED_VALUE"""),2017.0)</f>
        <v>2017</v>
      </c>
      <c r="F377" s="24" t="str">
        <f>IFERROR(__xludf.DUMMYFUNCTION("""COMPUTED_VALUE"""),"Ensino de ciências; Formação de professores; Ensino-aprendizagem; Prática pedagógica; Educação ambiental")</f>
        <v>Ensino de ciências; Formação de professores; Ensino-aprendizagem; Prática pedagógica; Educação ambiental</v>
      </c>
      <c r="G377" s="28" t="str">
        <f>IFERROR(__xludf.DUMMYFUNCTION("""COMPUTED_VALUE"""),"9788550902500")</f>
        <v>9788550902500</v>
      </c>
      <c r="H377" s="29" t="str">
        <f>IFERROR(__xludf.DUMMYFUNCTION("""COMPUTED_VALUE"""),"https://www.ufpi.br/arquivos_download/arquivos/EDUFPI/Livro_Ensino_de_ci%C3%AAncias-_relatos_e_pesquisas_no_panorama_piauiense.pdf")</f>
        <v>https://www.ufpi.br/arquivos_download/arquivos/EDUFPI/Livro_Ensino_de_ci%C3%AAncias-_relatos_e_pesquisas_no_panorama_piauiense.pdf</v>
      </c>
      <c r="I377" s="24" t="str">
        <f>IFERROR(__xludf.DUMMYFUNCTION("""COMPUTED_VALUE"""),"Ciências Humanas")</f>
        <v>Ciências Humanas</v>
      </c>
    </row>
    <row r="378">
      <c r="A378" s="24" t="str">
        <f>IFERROR(__xludf.DUMMYFUNCTION("""COMPUTED_VALUE"""),"Ensino de geografia: novos olhares e práticas.")</f>
        <v>Ensino de geografia: novos olhares e práticas.</v>
      </c>
      <c r="B378" s="24" t="str">
        <f>IFERROR(__xludf.DUMMYFUNCTION("""COMPUTED_VALUE"""),"Flaviana Gasparotti Nunes (org.)")</f>
        <v>Flaviana Gasparotti Nunes (org.)</v>
      </c>
      <c r="C378" s="24" t="str">
        <f>IFERROR(__xludf.DUMMYFUNCTION("""COMPUTED_VALUE"""),"Dourados, MS")</f>
        <v>Dourados, MS</v>
      </c>
      <c r="D378" s="24" t="str">
        <f>IFERROR(__xludf.DUMMYFUNCTION("""COMPUTED_VALUE"""),"Ed. UFGD")</f>
        <v>Ed. UFGD</v>
      </c>
      <c r="E378" s="25">
        <f>IFERROR(__xludf.DUMMYFUNCTION("""COMPUTED_VALUE"""),2011.0)</f>
        <v>2011</v>
      </c>
      <c r="F378" s="24" t="str">
        <f>IFERROR(__xludf.DUMMYFUNCTION("""COMPUTED_VALUE"""),"Geografia – Estudo e ensino")</f>
        <v>Geografia – Estudo e ensino</v>
      </c>
      <c r="G378" s="28" t="str">
        <f>IFERROR(__xludf.DUMMYFUNCTION("""COMPUTED_VALUE"""),"9788561228798")</f>
        <v>9788561228798</v>
      </c>
      <c r="H378" s="29" t="str">
        <f>IFERROR(__xludf.DUMMYFUNCTION("""COMPUTED_VALUE"""),"http://omp.ufgd.edu.br/omp/index.php/livrosabertos/catalog/view/95/55/180-1")</f>
        <v>http://omp.ufgd.edu.br/omp/index.php/livrosabertos/catalog/view/95/55/180-1</v>
      </c>
      <c r="I378" s="24" t="str">
        <f>IFERROR(__xludf.DUMMYFUNCTION("""COMPUTED_VALUE"""),"Ciências Humanas")</f>
        <v>Ciências Humanas</v>
      </c>
    </row>
    <row r="379">
      <c r="A379" s="24" t="str">
        <f>IFERROR(__xludf.DUMMYFUNCTION("""COMPUTED_VALUE"""),"Ensino desenvolvimental II: vida, pensamento e obra dos principais representantes russos.")</f>
        <v>Ensino desenvolvimental II: vida, pensamento e obra dos principais representantes russos.</v>
      </c>
      <c r="B379" s="24" t="str">
        <f>IFERROR(__xludf.DUMMYFUNCTION("""COMPUTED_VALUE"""),"Roberto Valdés Puentes,Andréa Maturano Longarezi")</f>
        <v>Roberto Valdés Puentes,Andréa Maturano Longarezi</v>
      </c>
      <c r="C379" s="24" t="str">
        <f>IFERROR(__xludf.DUMMYFUNCTION("""COMPUTED_VALUE"""),"Uberlândia")</f>
        <v>Uberlândia</v>
      </c>
      <c r="D379" s="24" t="str">
        <f>IFERROR(__xludf.DUMMYFUNCTION("""COMPUTED_VALUE"""),"EDUFU")</f>
        <v>EDUFU</v>
      </c>
      <c r="E379" s="25">
        <f>IFERROR(__xludf.DUMMYFUNCTION("""COMPUTED_VALUE"""),2017.0)</f>
        <v>2017</v>
      </c>
      <c r="F379" s="24" t="str">
        <f>IFERROR(__xludf.DUMMYFUNCTION("""COMPUTED_VALUE"""),"Educação; Didática; Psicologia educacional.I Longarezi, Andréa Maturano.II. Valdés Puentes, Roberto.Título II.Série")</f>
        <v>Educação; Didática; Psicologia educacional.I Longarezi, Andréa Maturano.II. Valdés Puentes, Roberto.Título II.Série</v>
      </c>
      <c r="G379" s="28" t="str">
        <f>IFERROR(__xludf.DUMMYFUNCTION("""COMPUTED_VALUE"""),"9788570784643")</f>
        <v>9788570784643</v>
      </c>
      <c r="H379" s="29" t="str">
        <f>IFERROR(__xludf.DUMMYFUNCTION("""COMPUTED_VALUE"""),"http://www.edufu.ufu.br/sites/edufu.ufu.br/files/e-book_ensino_desenvolvimental_livro_ii_2015_0.pdf")</f>
        <v>http://www.edufu.ufu.br/sites/edufu.ufu.br/files/e-book_ensino_desenvolvimental_livro_ii_2015_0.pdf</v>
      </c>
      <c r="I379" s="24" t="str">
        <f>IFERROR(__xludf.DUMMYFUNCTION("""COMPUTED_VALUE"""),"Ciências Humanas")</f>
        <v>Ciências Humanas</v>
      </c>
    </row>
    <row r="380">
      <c r="A380" s="24" t="str">
        <f>IFERROR(__xludf.DUMMYFUNCTION("""COMPUTED_VALUE"""),"Ensino médio: políticas e práticas")</f>
        <v>Ensino médio: políticas e práticas</v>
      </c>
      <c r="B380" s="24" t="str">
        <f>IFERROR(__xludf.DUMMYFUNCTION("""COMPUTED_VALUE"""),"Jose Clovis de Azevedo; Jonas Tarcísio Reis (org.)")</f>
        <v>Jose Clovis de Azevedo; Jonas Tarcísio Reis (org.)</v>
      </c>
      <c r="C380" s="24" t="str">
        <f>IFERROR(__xludf.DUMMYFUNCTION("""COMPUTED_VALUE"""),"Porto Alegre, RS")</f>
        <v>Porto Alegre, RS</v>
      </c>
      <c r="D380" s="24" t="str">
        <f>IFERROR(__xludf.DUMMYFUNCTION("""COMPUTED_VALUE"""),"Editora Universitária Metodista")</f>
        <v>Editora Universitária Metodista</v>
      </c>
      <c r="E380" s="25">
        <f>IFERROR(__xludf.DUMMYFUNCTION("""COMPUTED_VALUE"""),2016.0)</f>
        <v>2016</v>
      </c>
      <c r="F380" s="24" t="str">
        <f>IFERROR(__xludf.DUMMYFUNCTION("""COMPUTED_VALUE"""),"Educação. Ensino Médio Politécnico. Políticas")</f>
        <v>Educação. Ensino Médio Politécnico. Políticas</v>
      </c>
      <c r="G380" s="28" t="str">
        <f>IFERROR(__xludf.DUMMYFUNCTION("""COMPUTED_VALUE"""),"9788599738511")</f>
        <v>9788599738511</v>
      </c>
      <c r="H380" s="29" t="str">
        <f>IFERROR(__xludf.DUMMYFUNCTION("""COMPUTED_VALUE"""),"http://editora.metodista.br/livros-gratis/ensinomedio1-11-2016.pdf/at_download/file")</f>
        <v>http://editora.metodista.br/livros-gratis/ensinomedio1-11-2016.pdf/at_download/file</v>
      </c>
      <c r="I380" s="24" t="str">
        <f>IFERROR(__xludf.DUMMYFUNCTION("""COMPUTED_VALUE"""),"Ciências Humanas")</f>
        <v>Ciências Humanas</v>
      </c>
    </row>
    <row r="381">
      <c r="A381" s="24" t="str">
        <f>IFERROR(__xludf.DUMMYFUNCTION("""COMPUTED_VALUE"""),"Ensino Técnico e Extensão Universitária O conhecimento traduzido em cursos")</f>
        <v>Ensino Técnico e Extensão Universitária O conhecimento traduzido em cursos</v>
      </c>
      <c r="B381" s="24" t="str">
        <f>IFERROR(__xludf.DUMMYFUNCTION("""COMPUTED_VALUE"""),"Sérgio Brazão e Silva; Organizador; ")</f>
        <v>Sérgio Brazão e Silva; Organizador; </v>
      </c>
      <c r="C381" s="24" t="str">
        <f>IFERROR(__xludf.DUMMYFUNCTION("""COMPUTED_VALUE"""),"Belém")</f>
        <v>Belém</v>
      </c>
      <c r="D381" s="24" t="str">
        <f>IFERROR(__xludf.DUMMYFUNCTION("""COMPUTED_VALUE"""),"Edufra")</f>
        <v>Edufra</v>
      </c>
      <c r="E381" s="25">
        <f>IFERROR(__xludf.DUMMYFUNCTION("""COMPUTED_VALUE"""),2018.0)</f>
        <v>2018</v>
      </c>
      <c r="F381" s="24" t="str">
        <f>IFERROR(__xludf.DUMMYFUNCTION("""COMPUTED_VALUE"""),"Ciências Agrárias - ensino; Extensão Universitária – Ciências Agrárias")</f>
        <v>Ciências Agrárias - ensino; Extensão Universitária – Ciências Agrárias</v>
      </c>
      <c r="G381" s="28" t="str">
        <f>IFERROR(__xludf.DUMMYFUNCTION("""COMPUTED_VALUE"""),"9788572951296")</f>
        <v>9788572951296</v>
      </c>
      <c r="H381" s="29" t="str">
        <f>IFERROR(__xludf.DUMMYFUNCTION("""COMPUTED_VALUE"""),"https://portaleditora.ufra.edu.br/images/Ensino_Tecnico_UFRA.pdf")</f>
        <v>https://portaleditora.ufra.edu.br/images/Ensino_Tecnico_UFRA.pdf</v>
      </c>
      <c r="I381" s="24" t="str">
        <f>IFERROR(__xludf.DUMMYFUNCTION("""COMPUTED_VALUE"""),"Ciências Humanas")</f>
        <v>Ciências Humanas</v>
      </c>
    </row>
    <row r="382">
      <c r="A382" s="24" t="str">
        <f>IFERROR(__xludf.DUMMYFUNCTION("""COMPUTED_VALUE"""),"Entradas e bandeiras: a conquista do Brasil pelo futebol")</f>
        <v>Entradas e bandeiras: a conquista do Brasil pelo futebol</v>
      </c>
      <c r="B382" s="24" t="str">
        <f>IFERROR(__xludf.DUMMYFUNCTION("""COMPUTED_VALUE"""),"Gilmar Mascarenhas")</f>
        <v>Gilmar Mascarenhas</v>
      </c>
      <c r="C382" s="24" t="str">
        <f>IFERROR(__xludf.DUMMYFUNCTION("""COMPUTED_VALUE"""),"Rio de Janeiro")</f>
        <v>Rio de Janeiro</v>
      </c>
      <c r="D382" s="24" t="str">
        <f>IFERROR(__xludf.DUMMYFUNCTION("""COMPUTED_VALUE"""),"EdUERJ")</f>
        <v>EdUERJ</v>
      </c>
      <c r="E382" s="25">
        <f>IFERROR(__xludf.DUMMYFUNCTION("""COMPUTED_VALUE"""),2014.0)</f>
        <v>2014</v>
      </c>
      <c r="F382" s="24" t="str">
        <f>IFERROR(__xludf.DUMMYFUNCTION("""COMPUTED_VALUE"""),"Futebol; Esporte; História")</f>
        <v>Futebol; Esporte; História</v>
      </c>
      <c r="G382" s="28" t="str">
        <f>IFERROR(__xludf.DUMMYFUNCTION("""COMPUTED_VALUE"""),"9788575113202")</f>
        <v>9788575113202</v>
      </c>
      <c r="H382" s="29" t="str">
        <f>IFERROR(__xludf.DUMMYFUNCTION("""COMPUTED_VALUE"""),"https://www.eduerj.com/eng/?product=entradas-e-bandeiras-a-conquista-do-brasil-pelo-futebol-2")</f>
        <v>https://www.eduerj.com/eng/?product=entradas-e-bandeiras-a-conquista-do-brasil-pelo-futebol-2</v>
      </c>
      <c r="I382" s="24" t="str">
        <f>IFERROR(__xludf.DUMMYFUNCTION("""COMPUTED_VALUE"""),"Ciências Humanas")</f>
        <v>Ciências Humanas</v>
      </c>
    </row>
    <row r="383">
      <c r="A383" s="24" t="str">
        <f>IFERROR(__xludf.DUMMYFUNCTION("""COMPUTED_VALUE"""),"Entre a caserna e a rua: o dilema do pato: uma análise antropológica da instituição policial militar a partir da Academia de polícia Militar Dom João VI.")</f>
        <v>Entre a caserna e a rua: o dilema do pato: uma análise antropológica da instituição policial militar a partir da Academia de polícia Militar Dom João VI.</v>
      </c>
      <c r="B383" s="24" t="str">
        <f>IFERROR(__xludf.DUMMYFUNCTION("""COMPUTED_VALUE"""),"Robson Rodrigues da Silva")</f>
        <v>Robson Rodrigues da Silva</v>
      </c>
      <c r="C383" s="24" t="str">
        <f>IFERROR(__xludf.DUMMYFUNCTION("""COMPUTED_VALUE"""),"Niterói, RJ")</f>
        <v>Niterói, RJ</v>
      </c>
      <c r="D383" s="24" t="str">
        <f>IFERROR(__xludf.DUMMYFUNCTION("""COMPUTED_VALUE"""),"Editora da UFF")</f>
        <v>Editora da UFF</v>
      </c>
      <c r="E383" s="25">
        <f>IFERROR(__xludf.DUMMYFUNCTION("""COMPUTED_VALUE"""),2011.0)</f>
        <v>2011</v>
      </c>
      <c r="F383" s="24" t="str">
        <f>IFERROR(__xludf.DUMMYFUNCTION("""COMPUTED_VALUE"""),"Polícia Militar – Formação Policial; Antropologia Ciência Política")</f>
        <v>Polícia Militar – Formação Policial; Antropologia Ciência Política</v>
      </c>
      <c r="G383" s="28" t="str">
        <f>IFERROR(__xludf.DUMMYFUNCTION("""COMPUTED_VALUE"""),"9788522806867")</f>
        <v>9788522806867</v>
      </c>
      <c r="H383" s="29" t="str">
        <f>IFERROR(__xludf.DUMMYFUNCTION("""COMPUTED_VALUE"""),"http://www.eduff.uff.br/ebooks/Entre-a-caserna-e-a-rua.pdf")</f>
        <v>http://www.eduff.uff.br/ebooks/Entre-a-caserna-e-a-rua.pdf</v>
      </c>
      <c r="I383" s="24" t="str">
        <f>IFERROR(__xludf.DUMMYFUNCTION("""COMPUTED_VALUE"""),"Ciências Humanas")</f>
        <v>Ciências Humanas</v>
      </c>
    </row>
    <row r="384">
      <c r="A384" s="24" t="str">
        <f>IFERROR(__xludf.DUMMYFUNCTION("""COMPUTED_VALUE"""),"Entre a Ordem e o Progresso: A Escola de Aprendizes Artífices de Natal e a Formação de Cidadãos Úteis (1909 – 1937")</f>
        <v>Entre a Ordem e o Progresso: A Escola de Aprendizes Artífices de Natal e a Formação de Cidadãos Úteis (1909 – 1937</v>
      </c>
      <c r="B384" s="24" t="str">
        <f>IFERROR(__xludf.DUMMYFUNCTION("""COMPUTED_VALUE"""),"Renato Marinho Brandão Santos")</f>
        <v>Renato Marinho Brandão Santos</v>
      </c>
      <c r="C384" s="24" t="str">
        <f>IFERROR(__xludf.DUMMYFUNCTION("""COMPUTED_VALUE"""),"João Pessoa")</f>
        <v>João Pessoa</v>
      </c>
      <c r="D384" s="24" t="str">
        <f>IFERROR(__xludf.DUMMYFUNCTION("""COMPUTED_VALUE"""),"Editora IFPB")</f>
        <v>Editora IFPB</v>
      </c>
      <c r="E384" s="25">
        <f>IFERROR(__xludf.DUMMYFUNCTION("""COMPUTED_VALUE"""),2019.0)</f>
        <v>2019</v>
      </c>
      <c r="F384" s="24" t="str">
        <f>IFERROR(__xludf.DUMMYFUNCTION("""COMPUTED_VALUE"""),"Educação profissional; Escola de aprendizes de Natal; Jovem aprendiz")</f>
        <v>Educação profissional; Escola de aprendizes de Natal; Jovem aprendiz</v>
      </c>
      <c r="G384" s="28" t="str">
        <f>IFERROR(__xludf.DUMMYFUNCTION("""COMPUTED_VALUE"""),"9788554885281")</f>
        <v>9788554885281</v>
      </c>
      <c r="H384" s="29" t="str">
        <f>IFERROR(__xludf.DUMMYFUNCTION("""COMPUTED_VALUE"""),"http://editora.ifpb.edu.br/index.php/ifpb/catalog/book/349")</f>
        <v>http://editora.ifpb.edu.br/index.php/ifpb/catalog/book/349</v>
      </c>
      <c r="I384" s="24" t="str">
        <f>IFERROR(__xludf.DUMMYFUNCTION("""COMPUTED_VALUE"""),"Ciências Humanas")</f>
        <v>Ciências Humanas</v>
      </c>
    </row>
    <row r="385">
      <c r="A385" s="24" t="str">
        <f>IFERROR(__xludf.DUMMYFUNCTION("""COMPUTED_VALUE"""),"Entre a Terra e o Céu - Irmandades Leigas em Pernambuco (Séculos XVIII – XIX)")</f>
        <v>Entre a Terra e o Céu - Irmandades Leigas em Pernambuco (Séculos XVIII – XIX)</v>
      </c>
      <c r="B385" s="24" t="str">
        <f>IFERROR(__xludf.DUMMYFUNCTION("""COMPUTED_VALUE"""),"Suely C. Cordeiro de Almeida (org.)")</f>
        <v>Suely C. Cordeiro de Almeida (org.)</v>
      </c>
      <c r="C385" s="24" t="str">
        <f>IFERROR(__xludf.DUMMYFUNCTION("""COMPUTED_VALUE"""),"Recife")</f>
        <v>Recife</v>
      </c>
      <c r="D385" s="24" t="str">
        <f>IFERROR(__xludf.DUMMYFUNCTION("""COMPUTED_VALUE"""),"Editora Universitária da UFRPE")</f>
        <v>Editora Universitária da UFRPE</v>
      </c>
      <c r="E385" s="25">
        <f>IFERROR(__xludf.DUMMYFUNCTION("""COMPUTED_VALUE"""),2019.0)</f>
        <v>2019</v>
      </c>
      <c r="F385" s="24" t="str">
        <f>IFERROR(__xludf.DUMMYFUNCTION("""COMPUTED_VALUE"""),"História eclesiástica; História; Pernambuco")</f>
        <v>História eclesiástica; História; Pernambuco</v>
      </c>
      <c r="G385" s="28" t="str">
        <f>IFERROR(__xludf.DUMMYFUNCTION("""COMPUTED_VALUE"""),"9788579463495")</f>
        <v>9788579463495</v>
      </c>
      <c r="H385" s="29" t="str">
        <f>IFERROR(__xludf.DUMMYFUNCTION("""COMPUTED_VALUE"""),"http://www.editora.ufrpe.br/Entre_a_Terra_e_o_Ceu")</f>
        <v>http://www.editora.ufrpe.br/Entre_a_Terra_e_o_Ceu</v>
      </c>
      <c r="I385" s="24" t="str">
        <f>IFERROR(__xludf.DUMMYFUNCTION("""COMPUTED_VALUE"""),"Ciências Humanas")</f>
        <v>Ciências Humanas</v>
      </c>
    </row>
    <row r="386">
      <c r="A386" s="24" t="str">
        <f>IFERROR(__xludf.DUMMYFUNCTION("""COMPUTED_VALUE"""),"Entre discursos e práticas em memória, história e educação")</f>
        <v>Entre discursos e práticas em memória, história e educação</v>
      </c>
      <c r="B386" s="24" t="str">
        <f>IFERROR(__xludf.DUMMYFUNCTION("""COMPUTED_VALUE"""),"Fabiana Sena, Maria Elizete Guimarães Carvalho (Orgs.).")</f>
        <v>Fabiana Sena, Maria Elizete Guimarães Carvalho (Orgs.).</v>
      </c>
      <c r="C386" s="24" t="str">
        <f>IFERROR(__xludf.DUMMYFUNCTION("""COMPUTED_VALUE"""),"João Pessoa")</f>
        <v>João Pessoa</v>
      </c>
      <c r="D386" s="24" t="str">
        <f>IFERROR(__xludf.DUMMYFUNCTION("""COMPUTED_VALUE"""),"Editora da UFPB")</f>
        <v>Editora da UFPB</v>
      </c>
      <c r="E386" s="25">
        <f>IFERROR(__xludf.DUMMYFUNCTION("""COMPUTED_VALUE"""),2019.0)</f>
        <v>2019</v>
      </c>
      <c r="F386" s="24" t="str">
        <f>IFERROR(__xludf.DUMMYFUNCTION("""COMPUTED_VALUE"""),"História e educação; Memória e história; Práticas educativas")</f>
        <v>História e educação; Memória e história; Práticas educativas</v>
      </c>
      <c r="G386" s="28" t="str">
        <f>IFERROR(__xludf.DUMMYFUNCTION("""COMPUTED_VALUE"""),"9788523714284")</f>
        <v>9788523714284</v>
      </c>
      <c r="H386" s="29" t="str">
        <f>IFERROR(__xludf.DUMMYFUNCTION("""COMPUTED_VALUE"""),"http://www.editora.ufpb.br/sistema/press5/index.php/UFPB/catalog/book/321")</f>
        <v>http://www.editora.ufpb.br/sistema/press5/index.php/UFPB/catalog/book/321</v>
      </c>
      <c r="I386" s="24" t="str">
        <f>IFERROR(__xludf.DUMMYFUNCTION("""COMPUTED_VALUE"""),"Ciências Humanas")</f>
        <v>Ciências Humanas</v>
      </c>
    </row>
    <row r="387">
      <c r="A387" s="24" t="str">
        <f>IFERROR(__xludf.DUMMYFUNCTION("""COMPUTED_VALUE"""),"Entre o Sertão e o Litoral: Cultura e cotidiano em Porto Nacional 1880/1910 — coleção olhares --")</f>
        <v>Entre o Sertão e o Litoral: Cultura e cotidiano em Porto Nacional 1880/1910 — coleção olhares --</v>
      </c>
      <c r="B387" s="24" t="str">
        <f>IFERROR(__xludf.DUMMYFUNCTION("""COMPUTED_VALUE"""),"Maria de Fátima Oliveira")</f>
        <v>Maria de Fátima Oliveira</v>
      </c>
      <c r="C387" s="24" t="str">
        <f>IFERROR(__xludf.DUMMYFUNCTION("""COMPUTED_VALUE"""),"Anápolis")</f>
        <v>Anápolis</v>
      </c>
      <c r="D387" s="24" t="str">
        <f>IFERROR(__xludf.DUMMYFUNCTION("""COMPUTED_VALUE"""),"UEG")</f>
        <v>UEG</v>
      </c>
      <c r="E387" s="25">
        <f>IFERROR(__xludf.DUMMYFUNCTION("""COMPUTED_VALUE"""),2010.0)</f>
        <v>2010</v>
      </c>
      <c r="F387" s="24" t="str">
        <f>IFERROR(__xludf.DUMMYFUNCTION("""COMPUTED_VALUE"""),"Porto Nacional, TO – História; Porto Nacional, TO – Cultural")</f>
        <v>Porto Nacional, TO – História; Porto Nacional, TO – Cultural</v>
      </c>
      <c r="G387" s="28" t="str">
        <f>IFERROR(__xludf.DUMMYFUNCTION("""COMPUTED_VALUE"""),"9788563192127")</f>
        <v>9788563192127</v>
      </c>
      <c r="H387" s="29" t="str">
        <f>IFERROR(__xludf.DUMMYFUNCTION("""COMPUTED_VALUE"""),"http://cdn.ueg.edu.br/source/editora_ueg/conteudoN/4946/pdf_colecao_olhares/livro08_maria_de_fatima.pdf")</f>
        <v>http://cdn.ueg.edu.br/source/editora_ueg/conteudoN/4946/pdf_colecao_olhares/livro08_maria_de_fatima.pdf</v>
      </c>
      <c r="I387" s="24" t="str">
        <f>IFERROR(__xludf.DUMMYFUNCTION("""COMPUTED_VALUE"""),"Ciências Humanas")</f>
        <v>Ciências Humanas</v>
      </c>
    </row>
    <row r="388">
      <c r="A388" s="24" t="str">
        <f>IFERROR(__xludf.DUMMYFUNCTION("""COMPUTED_VALUE"""),"Entre recortes e colagens: Pato Bragado uma cidade no plural (1985-2005). ")</f>
        <v>Entre recortes e colagens: Pato Bragado uma cidade no plural (1985-2005). </v>
      </c>
      <c r="B388" s="24" t="str">
        <f>IFERROR(__xludf.DUMMYFUNCTION("""COMPUTED_VALUE"""),"Márcia Bortoli Uliana – ")</f>
        <v>Márcia Bortoli Uliana – </v>
      </c>
      <c r="C388" s="24" t="str">
        <f>IFERROR(__xludf.DUMMYFUNCTION("""COMPUTED_VALUE"""),"Dourados, MS")</f>
        <v>Dourados, MS</v>
      </c>
      <c r="D388" s="24" t="str">
        <f>IFERROR(__xludf.DUMMYFUNCTION("""COMPUTED_VALUE"""),"Ed. UFGD")</f>
        <v>Ed. UFGD</v>
      </c>
      <c r="E388" s="25">
        <f>IFERROR(__xludf.DUMMYFUNCTION("""COMPUTED_VALUE"""),2014.0)</f>
        <v>2014</v>
      </c>
      <c r="F388" s="24" t="str">
        <f>IFERROR(__xludf.DUMMYFUNCTION("""COMPUTED_VALUE"""),"Pato Bragado – Munícipe; Identidade; Memórias")</f>
        <v>Pato Bragado – Munícipe; Identidade; Memórias</v>
      </c>
      <c r="G388" s="28" t="str">
        <f>IFERROR(__xludf.DUMMYFUNCTION("""COMPUTED_VALUE"""),"9788581470832")</f>
        <v>9788581470832</v>
      </c>
      <c r="H388" s="29" t="str">
        <f>IFERROR(__xludf.DUMMYFUNCTION("""COMPUTED_VALUE"""),"http://omp.ufgd.edu.br/omp/index.php/livrosabertos/catalog/view/96/102/378-1")</f>
        <v>http://omp.ufgd.edu.br/omp/index.php/livrosabertos/catalog/view/96/102/378-1</v>
      </c>
      <c r="I388" s="24" t="str">
        <f>IFERROR(__xludf.DUMMYFUNCTION("""COMPUTED_VALUE"""),"Ciências Humanas")</f>
        <v>Ciências Humanas</v>
      </c>
    </row>
    <row r="389">
      <c r="A389" s="24" t="str">
        <f>IFERROR(__xludf.DUMMYFUNCTION("""COMPUTED_VALUE"""),"Entre Reflexões e Práticas Feministas")</f>
        <v>Entre Reflexões e Práticas Feministas</v>
      </c>
      <c r="B389" s="24" t="str">
        <f>IFERROR(__xludf.DUMMYFUNCTION("""COMPUTED_VALUE"""),"Maria Helena Santana Cruz, Soraya Barreto Januário e Maria Eulina P. de Carvalho (org)")</f>
        <v>Maria Helena Santana Cruz, Soraya Barreto Januário e Maria Eulina P. de Carvalho (org)</v>
      </c>
      <c r="C389" s="24" t="str">
        <f>IFERROR(__xludf.DUMMYFUNCTION("""COMPUTED_VALUE"""),"Recife")</f>
        <v>Recife</v>
      </c>
      <c r="D389" s="24" t="str">
        <f>IFERROR(__xludf.DUMMYFUNCTION("""COMPUTED_VALUE"""),"Editora Universitária da UFRPE")</f>
        <v>Editora Universitária da UFRPE</v>
      </c>
      <c r="E389" s="25">
        <f>IFERROR(__xludf.DUMMYFUNCTION("""COMPUTED_VALUE"""),2016.0)</f>
        <v>2016</v>
      </c>
      <c r="F389" s="24" t="str">
        <f>IFERROR(__xludf.DUMMYFUNCTION("""COMPUTED_VALUE"""),"Estudos feministas; Identidade de gênero; Relações raciais; Religiosidade; Mulheres na política")</f>
        <v>Estudos feministas; Identidade de gênero; Relações raciais; Religiosidade; Mulheres na política</v>
      </c>
      <c r="G389" s="28" t="str">
        <f>IFERROR(__xludf.DUMMYFUNCTION("""COMPUTED_VALUE"""),"9788541507707")</f>
        <v>9788541507707</v>
      </c>
      <c r="H389" s="29" t="str">
        <f>IFERROR(__xludf.DUMMYFUNCTION("""COMPUTED_VALUE"""),"https://www.dropbox.com/s/kjou0gboz8qgf8p/livro03_Entre_Reflexoes_e_Praticas_Feministas.pdf?dl=0")</f>
        <v>https://www.dropbox.com/s/kjou0gboz8qgf8p/livro03_Entre_Reflexoes_e_Praticas_Feministas.pdf?dl=0</v>
      </c>
      <c r="I389" s="24" t="str">
        <f>IFERROR(__xludf.DUMMYFUNCTION("""COMPUTED_VALUE"""),"Ciências Humanas")</f>
        <v>Ciências Humanas</v>
      </c>
    </row>
    <row r="390">
      <c r="A390" s="24" t="str">
        <f>IFERROR(__xludf.DUMMYFUNCTION("""COMPUTED_VALUE"""),"Enunciado dos Cartazes das Manifestações de Junho de 2013:: uma forma carnavalesca de contar a história do Brasil")</f>
        <v>Enunciado dos Cartazes das Manifestações de Junho de 2013:: uma forma carnavalesca de contar a história do Brasil</v>
      </c>
      <c r="B390" s="24" t="str">
        <f>IFERROR(__xludf.DUMMYFUNCTION("""COMPUTED_VALUE"""),"Tatiani Daiana de Novaes")</f>
        <v>Tatiani Daiana de Novaes</v>
      </c>
      <c r="C390" s="24" t="str">
        <f>IFERROR(__xludf.DUMMYFUNCTION("""COMPUTED_VALUE"""),"João Pessoa")</f>
        <v>João Pessoa</v>
      </c>
      <c r="D390" s="24" t="str">
        <f>IFERROR(__xludf.DUMMYFUNCTION("""COMPUTED_VALUE"""),"Editora IFPB")</f>
        <v>Editora IFPB</v>
      </c>
      <c r="E390" s="25">
        <f>IFERROR(__xludf.DUMMYFUNCTION("""COMPUTED_VALUE"""),2019.0)</f>
        <v>2019</v>
      </c>
      <c r="F390" s="24" t="str">
        <f>IFERROR(__xludf.DUMMYFUNCTION("""COMPUTED_VALUE"""),"Manifestações sociais; Movimentos sociais; Comunicação social")</f>
        <v>Manifestações sociais; Movimentos sociais; Comunicação social</v>
      </c>
      <c r="G390" s="28" t="str">
        <f>IFERROR(__xludf.DUMMYFUNCTION("""COMPUTED_VALUE"""),"9788554885212")</f>
        <v>9788554885212</v>
      </c>
      <c r="H390" s="29" t="str">
        <f>IFERROR(__xludf.DUMMYFUNCTION("""COMPUTED_VALUE"""),"http://editora.ifpb.edu.br/index.php/ifpb/catalog/book/351")</f>
        <v>http://editora.ifpb.edu.br/index.php/ifpb/catalog/book/351</v>
      </c>
      <c r="I390" s="24" t="str">
        <f>IFERROR(__xludf.DUMMYFUNCTION("""COMPUTED_VALUE"""),"Ciências Humanas")</f>
        <v>Ciências Humanas</v>
      </c>
    </row>
    <row r="391">
      <c r="A391" s="24" t="str">
        <f>IFERROR(__xludf.DUMMYFUNCTION("""COMPUTED_VALUE"""),"Envelhecimento humano na escola: Experiências de iniciação à docência")</f>
        <v>Envelhecimento humano na escola: Experiências de iniciação à docência</v>
      </c>
      <c r="B391" s="24" t="str">
        <f>IFERROR(__xludf.DUMMYFUNCTION("""COMPUTED_VALUE"""),"Fagundes, Bruno Flávio Lontra; Hahn, Fábio André.")</f>
        <v>Fagundes, Bruno Flávio Lontra; Hahn, Fábio André.</v>
      </c>
      <c r="C391" s="24" t="str">
        <f>IFERROR(__xludf.DUMMYFUNCTION("""COMPUTED_VALUE"""),"Campo Mourão, PR")</f>
        <v>Campo Mourão, PR</v>
      </c>
      <c r="D391" s="24" t="str">
        <f>IFERROR(__xludf.DUMMYFUNCTION("""COMPUTED_VALUE"""),"Editora Fecilcam")</f>
        <v>Editora Fecilcam</v>
      </c>
      <c r="E391" s="25">
        <f>IFERROR(__xludf.DUMMYFUNCTION("""COMPUTED_VALUE"""),2017.0)</f>
        <v>2017</v>
      </c>
      <c r="F391" s="24" t="str">
        <f>IFERROR(__xludf.DUMMYFUNCTION("""COMPUTED_VALUE"""),"Educação. Envelhecimento humano. Comunidade Escolar")</f>
        <v>Educação. Envelhecimento humano. Comunidade Escolar</v>
      </c>
      <c r="G391" s="28" t="str">
        <f>IFERROR(__xludf.DUMMYFUNCTION("""COMPUTED_VALUE"""),"9788588753457")</f>
        <v>9788588753457</v>
      </c>
      <c r="H391" s="29" t="str">
        <f>IFERROR(__xludf.DUMMYFUNCTION("""COMPUTED_VALUE"""),"http://campomourao.unespar.edu.br/editora/obras-digitais/envelhecimento-humano-na-escola-experiencias-de-iniciacao-a-docencia")</f>
        <v>http://campomourao.unespar.edu.br/editora/obras-digitais/envelhecimento-humano-na-escola-experiencias-de-iniciacao-a-docencia</v>
      </c>
      <c r="I391" s="24" t="str">
        <f>IFERROR(__xludf.DUMMYFUNCTION("""COMPUTED_VALUE"""),"Ciências Humanas")</f>
        <v>Ciências Humanas</v>
      </c>
    </row>
    <row r="392">
      <c r="A392" s="24" t="str">
        <f>IFERROR(__xludf.DUMMYFUNCTION("""COMPUTED_VALUE"""),"Environments: technoscience and its relation to sustainability, ethics, aesthetics, health and the human future*")</f>
        <v>Environments: technoscience and its relation to sustainability, ethics, aesthetics, health and the human future*</v>
      </c>
      <c r="B392" s="24" t="str">
        <f>IFERROR(__xludf.DUMMYFUNCTION("""COMPUTED_VALUE"""),"Organizadora: Vânia G. Zuin")</f>
        <v>Organizadora: Vânia G. Zuin</v>
      </c>
      <c r="C392" s="24" t="str">
        <f>IFERROR(__xludf.DUMMYFUNCTION("""COMPUTED_VALUE"""),"São Carlos")</f>
        <v>São Carlos</v>
      </c>
      <c r="D392" s="24" t="str">
        <f>IFERROR(__xludf.DUMMYFUNCTION("""COMPUTED_VALUE"""),"EdUFSCar")</f>
        <v>EdUFSCar</v>
      </c>
      <c r="E392" s="25">
        <f>IFERROR(__xludf.DUMMYFUNCTION("""COMPUTED_VALUE"""),2018.0)</f>
        <v>2018</v>
      </c>
      <c r="F392" s="24" t="str">
        <f>IFERROR(__xludf.DUMMYFUNCTION("""COMPUTED_VALUE"""),"Environment; Alexander Von Humboldt; Transdisciplinarity")</f>
        <v>Environment; Alexander Von Humboldt; Transdisciplinarity</v>
      </c>
      <c r="G392" s="28" t="str">
        <f>IFERROR(__xludf.DUMMYFUNCTION("""COMPUTED_VALUE"""),"9788590696261")</f>
        <v>9788590696261</v>
      </c>
      <c r="H392" s="29" t="str">
        <f>IFERROR(__xludf.DUMMYFUNCTION("""COMPUTED_VALUE"""),"https://www.edufscar.com.br/farol/edufscar/ebook/environments-technoscience-and-its-relation-to-sustainability-ethics-aesthetics-health-and-the-human-future/830536/")</f>
        <v>https://www.edufscar.com.br/farol/edufscar/ebook/environments-technoscience-and-its-relation-to-sustainability-ethics-aesthetics-health-and-the-human-future/830536/</v>
      </c>
      <c r="I392" s="24" t="str">
        <f>IFERROR(__xludf.DUMMYFUNCTION("""COMPUTED_VALUE"""),"Ciências Humanas")</f>
        <v>Ciências Humanas</v>
      </c>
    </row>
    <row r="393">
      <c r="A393" s="24" t="str">
        <f>IFERROR(__xludf.DUMMYFUNCTION("""COMPUTED_VALUE"""),"Era uma feira aonde a gente ia de chinelo: Campo Grande e sua Feira Livre Centra")</f>
        <v>Era uma feira aonde a gente ia de chinelo: Campo Grande e sua Feira Livre Centra</v>
      </c>
      <c r="B393" s="24" t="str">
        <f>IFERROR(__xludf.DUMMYFUNCTION("""COMPUTED_VALUE"""),"Lenita Maria Rodrigues Calado")</f>
        <v>Lenita Maria Rodrigues Calado</v>
      </c>
      <c r="C393" s="24" t="str">
        <f>IFERROR(__xludf.DUMMYFUNCTION("""COMPUTED_VALUE"""),"Dourados, MS")</f>
        <v>Dourados, MS</v>
      </c>
      <c r="D393" s="24" t="str">
        <f>IFERROR(__xludf.DUMMYFUNCTION("""COMPUTED_VALUE"""),"Ed. UFGD")</f>
        <v>Ed. UFGD</v>
      </c>
      <c r="E393" s="25">
        <f>IFERROR(__xludf.DUMMYFUNCTION("""COMPUTED_VALUE"""),2013.0)</f>
        <v>2013</v>
      </c>
      <c r="F393" s="24" t="str">
        <f>IFERROR(__xludf.DUMMYFUNCTION("""COMPUTED_VALUE"""),"Campo Grande (MS) – História; Feira Livre Central")</f>
        <v>Campo Grande (MS) – História; Feira Livre Central</v>
      </c>
      <c r="G393" s="28" t="str">
        <f>IFERROR(__xludf.DUMMYFUNCTION("""COMPUTED_VALUE"""),"9788581470658")</f>
        <v>9788581470658</v>
      </c>
      <c r="H393" s="29" t="str">
        <f>IFERROR(__xludf.DUMMYFUNCTION("""COMPUTED_VALUE"""),"http://omp.ufgd.edu.br/omp/index.php/livrosabertos/catalog/view/97/103/379-1")</f>
        <v>http://omp.ufgd.edu.br/omp/index.php/livrosabertos/catalog/view/97/103/379-1</v>
      </c>
      <c r="I393" s="24" t="str">
        <f>IFERROR(__xludf.DUMMYFUNCTION("""COMPUTED_VALUE"""),"Ciências Humanas")</f>
        <v>Ciências Humanas</v>
      </c>
    </row>
    <row r="394">
      <c r="A394" s="24" t="str">
        <f>IFERROR(__xludf.DUMMYFUNCTION("""COMPUTED_VALUE"""),"Escola primária e ensino da leitura e da escrita (alfabetização) no Espírito Santo (1870 a 1930)")</f>
        <v>Escola primária e ensino da leitura e da escrita (alfabetização) no Espírito Santo (1870 a 1930)</v>
      </c>
      <c r="B394" s="24" t="str">
        <f>IFERROR(__xludf.DUMMYFUNCTION("""COMPUTED_VALUE"""),"Cláudia Maria Mendes Gontijo, Sílvia Cunha Gomes")</f>
        <v>Cláudia Maria Mendes Gontijo, Sílvia Cunha Gomes</v>
      </c>
      <c r="C394" s="24" t="str">
        <f>IFERROR(__xludf.DUMMYFUNCTION("""COMPUTED_VALUE"""),"Vitória")</f>
        <v>Vitória</v>
      </c>
      <c r="D394" s="24" t="str">
        <f>IFERROR(__xludf.DUMMYFUNCTION("""COMPUTED_VALUE"""),"EDUFES")</f>
        <v>EDUFES</v>
      </c>
      <c r="E394" s="25">
        <f>IFERROR(__xludf.DUMMYFUNCTION("""COMPUTED_VALUE"""),2013.0)</f>
        <v>2013</v>
      </c>
      <c r="F394" s="24" t="str">
        <f>IFERROR(__xludf.DUMMYFUNCTION("""COMPUTED_VALUE"""),"Escolas primárias; Ensino; Alfabetização; Leitura; Escrita")</f>
        <v>Escolas primárias; Ensino; Alfabetização; Leitura; Escrita</v>
      </c>
      <c r="G394" s="28" t="str">
        <f>IFERROR(__xludf.DUMMYFUNCTION("""COMPUTED_VALUE"""),"9788577721382")</f>
        <v>9788577721382</v>
      </c>
      <c r="H394" s="29" t="str">
        <f>IFERROR(__xludf.DUMMYFUNCTION("""COMPUTED_VALUE"""),"http://repositorio.ufes.br/bitstream/10/860/1/Livro%20Escola%20prim%C3%A1ria%20e%20ensino%20da%20leitura%20e%20da%20escrita%20alfabetizacao%20no%20Esp%C3%ADrito%20Santo%20Edufes.pdf")</f>
        <v>http://repositorio.ufes.br/bitstream/10/860/1/Livro%20Escola%20prim%C3%A1ria%20e%20ensino%20da%20leitura%20e%20da%20escrita%20alfabetizacao%20no%20Esp%C3%ADrito%20Santo%20Edufes.pdf</v>
      </c>
      <c r="I394" s="24" t="str">
        <f>IFERROR(__xludf.DUMMYFUNCTION("""COMPUTED_VALUE"""),"Ciências Humanas")</f>
        <v>Ciências Humanas</v>
      </c>
    </row>
    <row r="395">
      <c r="A395" s="24" t="str">
        <f>IFERROR(__xludf.DUMMYFUNCTION("""COMPUTED_VALUE"""),"Escravidão africana no Recôncavo da Guanabara (séculos XIII-XIX)")</f>
        <v>Escravidão africana no Recôncavo da Guanabara (séculos XIII-XIX)</v>
      </c>
      <c r="B395" s="24" t="str">
        <f>IFERROR(__xludf.DUMMYFUNCTION("""COMPUTED_VALUE"""),"Mariza de Carvalho Soares e Nielson Rosa Bezerra (org.)")</f>
        <v>Mariza de Carvalho Soares e Nielson Rosa Bezerra (org.)</v>
      </c>
      <c r="C395" s="24" t="str">
        <f>IFERROR(__xludf.DUMMYFUNCTION("""COMPUTED_VALUE"""),"Niterói, RJ")</f>
        <v>Niterói, RJ</v>
      </c>
      <c r="D395" s="24" t="str">
        <f>IFERROR(__xludf.DUMMYFUNCTION("""COMPUTED_VALUE"""),"Editora da UFF")</f>
        <v>Editora da UFF</v>
      </c>
      <c r="E395" s="25">
        <f>IFERROR(__xludf.DUMMYFUNCTION("""COMPUTED_VALUE"""),2011.0)</f>
        <v>2011</v>
      </c>
      <c r="F395" s="24" t="str">
        <f>IFERROR(__xludf.DUMMYFUNCTION("""COMPUTED_VALUE"""),"História do Brasil; escravidão")</f>
        <v>História do Brasil; escravidão</v>
      </c>
      <c r="G395" s="28" t="str">
        <f>IFERROR(__xludf.DUMMYFUNCTION("""COMPUTED_VALUE"""),"9788522806331")</f>
        <v>9788522806331</v>
      </c>
      <c r="H395" s="29" t="str">
        <f>IFERROR(__xludf.DUMMYFUNCTION("""COMPUTED_VALUE"""),"http://www.eduff.uff.br/ebooks/Escravidao-africana-no-reconcavo-da-Guanabara.pdf")</f>
        <v>http://www.eduff.uff.br/ebooks/Escravidao-africana-no-reconcavo-da-Guanabara.pdf</v>
      </c>
      <c r="I395" s="24" t="str">
        <f>IFERROR(__xludf.DUMMYFUNCTION("""COMPUTED_VALUE"""),"Ciências Humanas")</f>
        <v>Ciências Humanas</v>
      </c>
    </row>
    <row r="396">
      <c r="A396" s="24" t="str">
        <f>IFERROR(__xludf.DUMMYFUNCTION("""COMPUTED_VALUE"""),"Escrita da História")</f>
        <v>Escrita da História</v>
      </c>
      <c r="B396" s="24" t="str">
        <f>IFERROR(__xludf.DUMMYFUNCTION("""COMPUTED_VALUE"""),"João Edson de Arruda Fanaia; Osvaldo Mariotto Cerezer; Renilson Rosa Ribeiro (org.)")</f>
        <v>João Edson de Arruda Fanaia; Osvaldo Mariotto Cerezer; Renilson Rosa Ribeiro (org.)</v>
      </c>
      <c r="C396" s="24" t="str">
        <f>IFERROR(__xludf.DUMMYFUNCTION("""COMPUTED_VALUE"""),"Cáceres")</f>
        <v>Cáceres</v>
      </c>
      <c r="D396" s="24" t="str">
        <f>IFERROR(__xludf.DUMMYFUNCTION("""COMPUTED_VALUE"""),"UNEMAT")</f>
        <v>UNEMAT</v>
      </c>
      <c r="E396" s="25">
        <f>IFERROR(__xludf.DUMMYFUNCTION("""COMPUTED_VALUE"""),2010.0)</f>
        <v>2010</v>
      </c>
      <c r="F396" s="24" t="str">
        <f>IFERROR(__xludf.DUMMYFUNCTION("""COMPUTED_VALUE"""),"História do Brasil; Ensino de História; Memória")</f>
        <v>História do Brasil; Ensino de História; Memória</v>
      </c>
      <c r="G396" s="28" t="str">
        <f>IFERROR(__xludf.DUMMYFUNCTION("""COMPUTED_VALUE"""),"97808579110269")</f>
        <v>97808579110269</v>
      </c>
      <c r="H396" s="29" t="str">
        <f>IFERROR(__xludf.DUMMYFUNCTION("""COMPUTED_VALUE"""),"http://www.unemat.br/reitoria/editora/downloads/eletronico/escrita_da_historia.pdf")</f>
        <v>http://www.unemat.br/reitoria/editora/downloads/eletronico/escrita_da_historia.pdf</v>
      </c>
      <c r="I396" s="24" t="str">
        <f>IFERROR(__xludf.DUMMYFUNCTION("""COMPUTED_VALUE"""),"Ciências Humanas")</f>
        <v>Ciências Humanas</v>
      </c>
    </row>
    <row r="397">
      <c r="A397" s="24" t="str">
        <f>IFERROR(__xludf.DUMMYFUNCTION("""COMPUTED_VALUE"""),"Escrita na universidade: panoramas e desafios na América Latina")</f>
        <v>Escrita na universidade: panoramas e desafios na América Latina</v>
      </c>
      <c r="B397" s="24" t="str">
        <f>IFERROR(__xludf.DUMMYFUNCTION("""COMPUTED_VALUE"""),"Regina Celi Mendes Pereira")</f>
        <v>Regina Celi Mendes Pereira</v>
      </c>
      <c r="C397" s="24" t="str">
        <f>IFERROR(__xludf.DUMMYFUNCTION("""COMPUTED_VALUE"""),"João Pessoa")</f>
        <v>João Pessoa</v>
      </c>
      <c r="D397" s="24" t="str">
        <f>IFERROR(__xludf.DUMMYFUNCTION("""COMPUTED_VALUE"""),"Editora da UFPB")</f>
        <v>Editora da UFPB</v>
      </c>
      <c r="E397" s="25">
        <f>IFERROR(__xludf.DUMMYFUNCTION("""COMPUTED_VALUE"""),2019.0)</f>
        <v>2019</v>
      </c>
      <c r="F397" s="24" t="str">
        <f>IFERROR(__xludf.DUMMYFUNCTION("""COMPUTED_VALUE"""),"Linguística. América Latina. Texto acadêmico")</f>
        <v>Linguística. América Latina. Texto acadêmico</v>
      </c>
      <c r="G397" s="28" t="str">
        <f>IFERROR(__xludf.DUMMYFUNCTION("""COMPUTED_VALUE"""),"9788523714758")</f>
        <v>9788523714758</v>
      </c>
      <c r="H397" s="29" t="str">
        <f>IFERROR(__xludf.DUMMYFUNCTION("""COMPUTED_VALUE"""),"http://www.editora.ufpb.br/sistema/press5/index.php/UFPB/catalog/book/223")</f>
        <v>http://www.editora.ufpb.br/sistema/press5/index.php/UFPB/catalog/book/223</v>
      </c>
      <c r="I397" s="24" t="str">
        <f>IFERROR(__xludf.DUMMYFUNCTION("""COMPUTED_VALUE"""),"Ciências Humanas")</f>
        <v>Ciências Humanas</v>
      </c>
    </row>
    <row r="398">
      <c r="A398" s="24" t="str">
        <f>IFERROR(__xludf.DUMMYFUNCTION("""COMPUTED_VALUE"""),"Escritos sobre políticas culturais")</f>
        <v>Escritos sobre políticas culturais</v>
      </c>
      <c r="B398" s="24" t="str">
        <f>IFERROR(__xludf.DUMMYFUNCTION("""COMPUTED_VALUE"""),"Lia calabre")</f>
        <v>Lia calabre</v>
      </c>
      <c r="C398" s="24" t="str">
        <f>IFERROR(__xludf.DUMMYFUNCTION("""COMPUTED_VALUE"""),"Rio de Janeiro")</f>
        <v>Rio de Janeiro</v>
      </c>
      <c r="D398" s="24" t="str">
        <f>IFERROR(__xludf.DUMMYFUNCTION("""COMPUTED_VALUE"""),"Fundação Casa de Rui Barbosa")</f>
        <v>Fundação Casa de Rui Barbosa</v>
      </c>
      <c r="E398" s="25">
        <f>IFERROR(__xludf.DUMMYFUNCTION("""COMPUTED_VALUE"""),2019.0)</f>
        <v>2019</v>
      </c>
      <c r="F398" s="24" t="str">
        <f>IFERROR(__xludf.DUMMYFUNCTION("""COMPUTED_VALUE"""),"Política cultural")</f>
        <v>Política cultural</v>
      </c>
      <c r="G398" s="28" t="str">
        <f>IFERROR(__xludf.DUMMYFUNCTION("""COMPUTED_VALUE"""),"9788570043993")</f>
        <v>9788570043993</v>
      </c>
      <c r="H398" s="29" t="str">
        <f>IFERROR(__xludf.DUMMYFUNCTION("""COMPUTED_VALUE"""),"http://www.casaruibarbosa.gov.br/arquivos/file/Escritos-sobre-politicas-culturais_miolo2.pdf")</f>
        <v>http://www.casaruibarbosa.gov.br/arquivos/file/Escritos-sobre-politicas-culturais_miolo2.pdf</v>
      </c>
      <c r="I398" s="24" t="str">
        <f>IFERROR(__xludf.DUMMYFUNCTION("""COMPUTED_VALUE"""),"Ciências Humanas")</f>
        <v>Ciências Humanas</v>
      </c>
    </row>
    <row r="399">
      <c r="A399" s="24" t="str">
        <f>IFERROR(__xludf.DUMMYFUNCTION("""COMPUTED_VALUE"""),"Esculhamba, mas não esculacha! ")</f>
        <v>Esculhamba, mas não esculacha! </v>
      </c>
      <c r="B399" s="24" t="str">
        <f>IFERROR(__xludf.DUMMYFUNCTION("""COMPUTED_VALUE"""),"Lenin Pires")</f>
        <v>Lenin Pires</v>
      </c>
      <c r="C399" s="24" t="str">
        <f>IFERROR(__xludf.DUMMYFUNCTION("""COMPUTED_VALUE"""),"Niterói, RJ")</f>
        <v>Niterói, RJ</v>
      </c>
      <c r="D399" s="24" t="str">
        <f>IFERROR(__xludf.DUMMYFUNCTION("""COMPUTED_VALUE"""),"Editora da UFF")</f>
        <v>Editora da UFF</v>
      </c>
      <c r="E399" s="25">
        <f>IFERROR(__xludf.DUMMYFUNCTION("""COMPUTED_VALUE"""),2011.0)</f>
        <v>2011</v>
      </c>
      <c r="F399" s="24" t="str">
        <f>IFERROR(__xludf.DUMMYFUNCTION("""COMPUTED_VALUE"""),"Antropologia; Usos e costumes")</f>
        <v>Antropologia; Usos e costumes</v>
      </c>
      <c r="G399" s="28" t="str">
        <f>IFERROR(__xludf.DUMMYFUNCTION("""COMPUTED_VALUE"""),"97885228006577")</f>
        <v>97885228006577</v>
      </c>
      <c r="H399" s="29" t="str">
        <f>IFERROR(__xludf.DUMMYFUNCTION("""COMPUTED_VALUE"""),"http://www.eduff.uff.br/ebooks/Esculhamba-mas-nao-esculacha.pdf")</f>
        <v>http://www.eduff.uff.br/ebooks/Esculhamba-mas-nao-esculacha.pdf</v>
      </c>
      <c r="I399" s="24" t="str">
        <f>IFERROR(__xludf.DUMMYFUNCTION("""COMPUTED_VALUE"""),"Ciências Humanas")</f>
        <v>Ciências Humanas</v>
      </c>
    </row>
    <row r="400">
      <c r="A400" s="24" t="str">
        <f>IFERROR(__xludf.DUMMYFUNCTION("""COMPUTED_VALUE"""),"Escuta crítica: formação docente em letras, presencial e a distância")</f>
        <v>Escuta crítica: formação docente em letras, presencial e a distância</v>
      </c>
      <c r="B400" s="24" t="str">
        <f>IFERROR(__xludf.DUMMYFUNCTION("""COMPUTED_VALUE"""),"Simone Tiemi Hashiguti, Cristiane Carvalho de Paula Brito, Fernanda Costa Ribas (organizadoras)")</f>
        <v>Simone Tiemi Hashiguti, Cristiane Carvalho de Paula Brito, Fernanda Costa Ribas (organizadoras)</v>
      </c>
      <c r="C400" s="24" t="str">
        <f>IFERROR(__xludf.DUMMYFUNCTION("""COMPUTED_VALUE"""),"Uberlândia")</f>
        <v>Uberlândia</v>
      </c>
      <c r="D400" s="24" t="str">
        <f>IFERROR(__xludf.DUMMYFUNCTION("""COMPUTED_VALUE"""),"EDUFU")</f>
        <v>EDUFU</v>
      </c>
      <c r="E400" s="25">
        <f>IFERROR(__xludf.DUMMYFUNCTION("""COMPUTED_VALUE"""),2019.0)</f>
        <v>2019</v>
      </c>
      <c r="F400" s="24" t="str">
        <f>IFERROR(__xludf.DUMMYFUNCTION("""COMPUTED_VALUE"""),"Linguagem e línguas – Estudo e ensino; Letramento – Formação de professores; Aquisição de segunda linguagem. I. Hashiguti, Simone Tiemi. II. Brito, Cristiane Carvalho de Paula. III. Ribas, Fernanda Costa. IV. Universidade Federal de Uberlândia. V. Título")</f>
        <v>Linguagem e línguas – Estudo e ensino; Letramento – Formação de professores; Aquisição de segunda linguagem. I. Hashiguti, Simone Tiemi. II. Brito, Cristiane Carvalho de Paula. III. Ribas, Fernanda Costa. IV. Universidade Federal de Uberlândia. V. Título</v>
      </c>
      <c r="G400" s="28" t="str">
        <f>IFERROR(__xludf.DUMMYFUNCTION("""COMPUTED_VALUE"""),"9788570785046")</f>
        <v>9788570785046</v>
      </c>
      <c r="H400" s="29" t="str">
        <f>IFERROR(__xludf.DUMMYFUNCTION("""COMPUTED_VALUE"""),"http://www.edufu.ufu.br/sites/edufu.ufu.br/files/e-book_final_escuta_critica_e-classe_2019_.pdf")</f>
        <v>http://www.edufu.ufu.br/sites/edufu.ufu.br/files/e-book_final_escuta_critica_e-classe_2019_.pdf</v>
      </c>
      <c r="I400" s="24" t="str">
        <f>IFERROR(__xludf.DUMMYFUNCTION("""COMPUTED_VALUE"""),"Ciências Humanas")</f>
        <v>Ciências Humanas</v>
      </c>
    </row>
    <row r="401">
      <c r="A401" s="24" t="str">
        <f>IFERROR(__xludf.DUMMYFUNCTION("""COMPUTED_VALUE"""),"Espaço, Cultura e Memória: Integrando Visões da Cidade")</f>
        <v>Espaço, Cultura e Memória: Integrando Visões da Cidade</v>
      </c>
      <c r="B401" s="24" t="str">
        <f>IFERROR(__xludf.DUMMYFUNCTION("""COMPUTED_VALUE"""),"Antonia Neide Costa Santana, Diocleide Lima Ferreira, Edvanir Maia da Silveira")</f>
        <v>Antonia Neide Costa Santana, Diocleide Lima Ferreira, Edvanir Maia da Silveira</v>
      </c>
      <c r="C401" s="24" t="str">
        <f>IFERROR(__xludf.DUMMYFUNCTION("""COMPUTED_VALUE"""),"Sobral")</f>
        <v>Sobral</v>
      </c>
      <c r="D401" s="24" t="str">
        <f>IFERROR(__xludf.DUMMYFUNCTION("""COMPUTED_VALUE"""),"Edições UVA")</f>
        <v>Edições UVA</v>
      </c>
      <c r="E401" s="25">
        <f>IFERROR(__xludf.DUMMYFUNCTION("""COMPUTED_VALUE"""),2016.0)</f>
        <v>2016</v>
      </c>
      <c r="F401" s="24" t="str">
        <f>IFERROR(__xludf.DUMMYFUNCTION("""COMPUTED_VALUE"""),"História oral, Cidades do Ceará – Aspectos sociopolíticos, Paisagem rural, Turismo")</f>
        <v>História oral, Cidades do Ceará – Aspectos sociopolíticos, Paisagem rural, Turismo</v>
      </c>
      <c r="G401" s="28" t="str">
        <f>IFERROR(__xludf.DUMMYFUNCTION("""COMPUTED_VALUE"""),"9788595393201")</f>
        <v>9788595393201</v>
      </c>
      <c r="H401" s="29" t="str">
        <f>IFERROR(__xludf.DUMMYFUNCTION("""COMPUTED_VALUE"""),"http://www.uvanet.br/edicoes_uva/gera_xml.php?arquivo=espaco_cultura_memoria")</f>
        <v>http://www.uvanet.br/edicoes_uva/gera_xml.php?arquivo=espaco_cultura_memoria</v>
      </c>
      <c r="I401" s="24" t="str">
        <f>IFERROR(__xludf.DUMMYFUNCTION("""COMPUTED_VALUE"""),"Ciências Humanas")</f>
        <v>Ciências Humanas</v>
      </c>
    </row>
    <row r="402">
      <c r="A402" s="24" t="str">
        <f>IFERROR(__xludf.DUMMYFUNCTION("""COMPUTED_VALUE"""),"Estado e Sociedade no Alto Império Romano: um estudo das obras de Sêneca")</f>
        <v>Estado e Sociedade no Alto Império Romano: um estudo das obras de Sêneca</v>
      </c>
      <c r="B402" s="24" t="str">
        <f>IFERROR(__xludf.DUMMYFUNCTION("""COMPUTED_VALUE"""),"Fábio Farvesani")</f>
        <v>Fábio Farvesani</v>
      </c>
      <c r="C402" s="24" t="str">
        <f>IFERROR(__xludf.DUMMYFUNCTION("""COMPUTED_VALUE"""),"Ouro Preto")</f>
        <v>Ouro Preto</v>
      </c>
      <c r="D402" s="24" t="str">
        <f>IFERROR(__xludf.DUMMYFUNCTION("""COMPUTED_VALUE"""),"UFOP")</f>
        <v>UFOP</v>
      </c>
      <c r="E402" s="25">
        <f>IFERROR(__xludf.DUMMYFUNCTION("""COMPUTED_VALUE"""),2012.0)</f>
        <v>2012</v>
      </c>
      <c r="F402" s="24" t="str">
        <f>IFERROR(__xludf.DUMMYFUNCTION("""COMPUTED_VALUE"""),"Roma-história-império.Roma-sociedade e governo. Sêneca-literatura latina")</f>
        <v>Roma-história-império.Roma-sociedade e governo. Sêneca-literatura latina</v>
      </c>
      <c r="G402" s="28" t="str">
        <f>IFERROR(__xludf.DUMMYFUNCTION("""COMPUTED_VALUE"""),"9788528802948")</f>
        <v>9788528802948</v>
      </c>
      <c r="H402" s="29" t="str">
        <f>IFERROR(__xludf.DUMMYFUNCTION("""COMPUTED_VALUE"""),"https://www.editora.ufop.br/index.php/editora/catalog/view/37/25/87-1")</f>
        <v>https://www.editora.ufop.br/index.php/editora/catalog/view/37/25/87-1</v>
      </c>
      <c r="I402" s="24" t="str">
        <f>IFERROR(__xludf.DUMMYFUNCTION("""COMPUTED_VALUE"""),"Ciências Humanas")</f>
        <v>Ciências Humanas</v>
      </c>
    </row>
    <row r="403">
      <c r="A403" s="24" t="str">
        <f>IFERROR(__xludf.DUMMYFUNCTION("""COMPUTED_VALUE"""),"Estado, educação rural e influência norte-america no Brasil (1930-1961)")</f>
        <v>Estado, educação rural e influência norte-america no Brasil (1930-1961)</v>
      </c>
      <c r="B403" s="24" t="str">
        <f>IFERROR(__xludf.DUMMYFUNCTION("""COMPUTED_VALUE"""),"Sonia Regina de Mendonça")</f>
        <v>Sonia Regina de Mendonça</v>
      </c>
      <c r="C403" s="24" t="str">
        <f>IFERROR(__xludf.DUMMYFUNCTION("""COMPUTED_VALUE"""),"Niterói, RJ")</f>
        <v>Niterói, RJ</v>
      </c>
      <c r="D403" s="24" t="str">
        <f>IFERROR(__xludf.DUMMYFUNCTION("""COMPUTED_VALUE"""),"EDUFF")</f>
        <v>EDUFF</v>
      </c>
      <c r="E403" s="25">
        <f>IFERROR(__xludf.DUMMYFUNCTION("""COMPUTED_VALUE"""),2010.0)</f>
        <v>2010</v>
      </c>
      <c r="F403" s="24" t="str">
        <f>IFERROR(__xludf.DUMMYFUNCTION("""COMPUTED_VALUE"""),"Educação; Brasil")</f>
        <v>Educação; Brasil</v>
      </c>
      <c r="G403" s="28" t="str">
        <f>IFERROR(__xludf.DUMMYFUNCTION("""COMPUTED_VALUE"""),"9788522805426")</f>
        <v>9788522805426</v>
      </c>
      <c r="H403" s="29" t="str">
        <f>IFERROR(__xludf.DUMMYFUNCTION("""COMPUTED_VALUE"""),"http://bit.ly/Estado-educacao-rural")</f>
        <v>http://bit.ly/Estado-educacao-rural</v>
      </c>
      <c r="I403" s="24" t="str">
        <f>IFERROR(__xludf.DUMMYFUNCTION("""COMPUTED_VALUE"""),"Ciências Humanas")</f>
        <v>Ciências Humanas</v>
      </c>
    </row>
    <row r="404">
      <c r="A404" s="24" t="str">
        <f>IFERROR(__xludf.DUMMYFUNCTION("""COMPUTED_VALUE"""),"Estágio supervisionado em unidades agroindustriais")</f>
        <v>Estágio supervisionado em unidades agroindustriais</v>
      </c>
      <c r="B404" s="24" t="str">
        <f>IFERROR(__xludf.DUMMYFUNCTION("""COMPUTED_VALUE"""),"Beck, Fabio de Lima; Dal Soglio, Fabio Kessler; Mello, Fernanda Bastos de; Almeida, Jalcione Pereira de ")</f>
        <v>Beck, Fabio de Lima; Dal Soglio, Fabio Kessler; Mello, Fernanda Bastos de; Almeida, Jalcione Pereira de </v>
      </c>
      <c r="C404" s="24" t="str">
        <f>IFERROR(__xludf.DUMMYFUNCTION("""COMPUTED_VALUE"""),"Porto Alegre")</f>
        <v>Porto Alegre</v>
      </c>
      <c r="D404" s="24" t="str">
        <f>IFERROR(__xludf.DUMMYFUNCTION("""COMPUTED_VALUE"""),"UFRGS")</f>
        <v>UFRGS</v>
      </c>
      <c r="E404" s="25">
        <f>IFERROR(__xludf.DUMMYFUNCTION("""COMPUTED_VALUE"""),2011.0)</f>
        <v>2011</v>
      </c>
      <c r="F404" s="24" t="str">
        <f>IFERROR(__xludf.DUMMYFUNCTION("""COMPUTED_VALUE"""),"Educação à distância; Ensino a distância; Ensino superior; Estágio supervisionado; Prática pedagógica; Sociologia rural")</f>
        <v>Educação à distância; Ensino a distância; Ensino superior; Estágio supervisionado; Prática pedagógica; Sociologia rural</v>
      </c>
      <c r="G404" s="28" t="str">
        <f>IFERROR(__xludf.DUMMYFUNCTION("""COMPUTED_VALUE"""),"9788538601630")</f>
        <v>9788538601630</v>
      </c>
      <c r="H404" s="29" t="str">
        <f>IFERROR(__xludf.DUMMYFUNCTION("""COMPUTED_VALUE"""),"http://hdl.handle.net/10183/56463")</f>
        <v>http://hdl.handle.net/10183/56463</v>
      </c>
      <c r="I404" s="24" t="str">
        <f>IFERROR(__xludf.DUMMYFUNCTION("""COMPUTED_VALUE"""),"Ciências Humanas")</f>
        <v>Ciências Humanas</v>
      </c>
    </row>
    <row r="405">
      <c r="A405" s="24" t="str">
        <f>IFERROR(__xludf.DUMMYFUNCTION("""COMPUTED_VALUE"""),"Estágio supervisionado em unidades de produção agrícola")</f>
        <v>Estágio supervisionado em unidades de produção agrícola</v>
      </c>
      <c r="B405" s="24" t="str">
        <f>IFERROR(__xludf.DUMMYFUNCTION("""COMPUTED_VALUE"""),"Cardoso, Susana; Beck, Fabio de Lima; Mello, Fernanda Bastos de; Dal Soglio, Fabio Kessler ")</f>
        <v>Cardoso, Susana; Beck, Fabio de Lima; Mello, Fernanda Bastos de; Dal Soglio, Fabio Kessler </v>
      </c>
      <c r="C405" s="24" t="str">
        <f>IFERROR(__xludf.DUMMYFUNCTION("""COMPUTED_VALUE"""),"Porto Alegre")</f>
        <v>Porto Alegre</v>
      </c>
      <c r="D405" s="24" t="str">
        <f>IFERROR(__xludf.DUMMYFUNCTION("""COMPUTED_VALUE"""),"UFRGS")</f>
        <v>UFRGS</v>
      </c>
      <c r="E405" s="25">
        <f>IFERROR(__xludf.DUMMYFUNCTION("""COMPUTED_VALUE"""),2011.0)</f>
        <v>2011</v>
      </c>
      <c r="F405" s="24" t="str">
        <f>IFERROR(__xludf.DUMMYFUNCTION("""COMPUTED_VALUE"""),"Educação à distância; Ensino a distância; Ensino superior; Estágio supervisionado; Prática pedagógica; Sociologia rural")</f>
        <v>Educação à distância; Ensino a distância; Ensino superior; Estágio supervisionado; Prática pedagógica; Sociologia rural</v>
      </c>
      <c r="G405" s="28" t="str">
        <f>IFERROR(__xludf.DUMMYFUNCTION("""COMPUTED_VALUE"""),"9788538601432")</f>
        <v>9788538601432</v>
      </c>
      <c r="H405" s="29" t="str">
        <f>IFERROR(__xludf.DUMMYFUNCTION("""COMPUTED_VALUE"""),"http://hdl.handle.net/10183/56462")</f>
        <v>http://hdl.handle.net/10183/56462</v>
      </c>
      <c r="I405" s="24" t="str">
        <f>IFERROR(__xludf.DUMMYFUNCTION("""COMPUTED_VALUE"""),"Ciências Humanas")</f>
        <v>Ciências Humanas</v>
      </c>
    </row>
    <row r="406">
      <c r="A406" s="24" t="str">
        <f>IFERROR(__xludf.DUMMYFUNCTION("""COMPUTED_VALUE"""),"Estágio Supervisionado na Formação Docente")</f>
        <v>Estágio Supervisionado na Formação Docente</v>
      </c>
      <c r="B406" s="24" t="str">
        <f>IFERROR(__xludf.DUMMYFUNCTION("""COMPUTED_VALUE"""),"Dalila Regina Mota de Melo (org.)")</f>
        <v>Dalila Regina Mota de Melo (org.)</v>
      </c>
      <c r="C406" s="24" t="str">
        <f>IFERROR(__xludf.DUMMYFUNCTION("""COMPUTED_VALUE"""),"Campina Grande")</f>
        <v>Campina Grande</v>
      </c>
      <c r="D406" s="24" t="str">
        <f>IFERROR(__xludf.DUMMYFUNCTION("""COMPUTED_VALUE"""),"EDUEPB")</f>
        <v>EDUEPB</v>
      </c>
      <c r="E406" s="25">
        <f>IFERROR(__xludf.DUMMYFUNCTION("""COMPUTED_VALUE"""),2017.0)</f>
        <v>2017</v>
      </c>
      <c r="F406" s="24" t="str">
        <f>IFERROR(__xludf.DUMMYFUNCTION("""COMPUTED_VALUE"""),"Estágio Supervisionado. Educação. Ensino-aprendizagem. Formação docente")</f>
        <v>Estágio Supervisionado. Educação. Ensino-aprendizagem. Formação docente</v>
      </c>
      <c r="G406" s="28" t="str">
        <f>IFERROR(__xludf.DUMMYFUNCTION("""COMPUTED_VALUE"""),"9788578794651")</f>
        <v>9788578794651</v>
      </c>
      <c r="H406" s="29" t="str">
        <f>IFERROR(__xludf.DUMMYFUNCTION("""COMPUTED_VALUE"""),"http://eduepb.uepb.edu.br/download/estagio-supervisionado-na-formacao-docente/?wpdmdl=344&amp;amp;masterkey=5b02c2b91ad17")</f>
        <v>http://eduepb.uepb.edu.br/download/estagio-supervisionado-na-formacao-docente/?wpdmdl=344&amp;amp;masterkey=5b02c2b91ad17</v>
      </c>
      <c r="I406" s="24" t="str">
        <f>IFERROR(__xludf.DUMMYFUNCTION("""COMPUTED_VALUE"""),"Ciências Humanas")</f>
        <v>Ciências Humanas</v>
      </c>
    </row>
    <row r="407">
      <c r="A407" s="24" t="str">
        <f>IFERROR(__xludf.DUMMYFUNCTION("""COMPUTED_VALUE"""),"Estas terras e seus donos: políticas de espacialidade e territorialidade em La Cruz e no mundo guarani missioneiro (1629 – 1828)")</f>
        <v>Estas terras e seus donos: políticas de espacialidade e territorialidade em La Cruz e no mundo guarani missioneiro (1629 – 1828)</v>
      </c>
      <c r="B407" s="24" t="str">
        <f>IFERROR(__xludf.DUMMYFUNCTION("""COMPUTED_VALUE"""),"Serres, Helenize Soares")</f>
        <v>Serres, Helenize Soares</v>
      </c>
      <c r="C407" s="24" t="str">
        <f>IFERROR(__xludf.DUMMYFUNCTION("""COMPUTED_VALUE"""),"Pelotas")</f>
        <v>Pelotas</v>
      </c>
      <c r="D407" s="24" t="str">
        <f>IFERROR(__xludf.DUMMYFUNCTION("""COMPUTED_VALUE"""),"UFPel")</f>
        <v>UFPel</v>
      </c>
      <c r="E407" s="25">
        <f>IFERROR(__xludf.DUMMYFUNCTION("""COMPUTED_VALUE"""),2017.0)</f>
        <v>2017</v>
      </c>
      <c r="F407" s="24" t="str">
        <f>IFERROR(__xludf.DUMMYFUNCTION("""COMPUTED_VALUE"""),"La Cruz; Estância; Geopolítica; Espacialidade; Guarani; Missioneiro")</f>
        <v>La Cruz; Estância; Geopolítica; Espacialidade; Guarani; Missioneiro</v>
      </c>
      <c r="G407" s="28" t="str">
        <f>IFERROR(__xludf.DUMMYFUNCTION("""COMPUTED_VALUE"""),"9788571929593")</f>
        <v>9788571929593</v>
      </c>
      <c r="H407" s="29" t="str">
        <f>IFERROR(__xludf.DUMMYFUNCTION("""COMPUTED_VALUE"""),"http://repositorio.ufpel.edu.br:8080/bitstream/prefix/3804/6/11_ESTAS%20TERRAS%20E%20SEUS%20DONOS_S%c3%89RIE%20P%c3%93S%20GRADUA%c3%87%c3%83O.pdf")</f>
        <v>http://repositorio.ufpel.edu.br:8080/bitstream/prefix/3804/6/11_ESTAS%20TERRAS%20E%20SEUS%20DONOS_S%c3%89RIE%20P%c3%93S%20GRADUA%c3%87%c3%83O.pdf</v>
      </c>
      <c r="I407" s="24" t="str">
        <f>IFERROR(__xludf.DUMMYFUNCTION("""COMPUTED_VALUE"""),"Ciências Humanas")</f>
        <v>Ciências Humanas</v>
      </c>
    </row>
    <row r="408">
      <c r="A408" s="24" t="str">
        <f>IFERROR(__xludf.DUMMYFUNCTION("""COMPUTED_VALUE"""),"Esteja a gosto! viajando pela costa do cacau em literatura e fotografia ")</f>
        <v>Esteja a gosto! viajando pela costa do cacau em literatura e fotografia </v>
      </c>
      <c r="B408" s="24" t="str">
        <f>IFERROR(__xludf.DUMMYFUNCTION("""COMPUTED_VALUE"""),"Maria de Lourdes Netto Simões (org.)")</f>
        <v>Maria de Lourdes Netto Simões (org.)</v>
      </c>
      <c r="C408" s="24" t="str">
        <f>IFERROR(__xludf.DUMMYFUNCTION("""COMPUTED_VALUE"""),"Ilhéus, BA")</f>
        <v>Ilhéus, BA</v>
      </c>
      <c r="D408" s="24" t="str">
        <f>IFERROR(__xludf.DUMMYFUNCTION("""COMPUTED_VALUE"""),"Editus")</f>
        <v>Editus</v>
      </c>
      <c r="E408" s="25">
        <f>IFERROR(__xludf.DUMMYFUNCTION("""COMPUTED_VALUE"""),2007.0)</f>
        <v>2007</v>
      </c>
      <c r="F408" s="24" t="str">
        <f>IFERROR(__xludf.DUMMYFUNCTION("""COMPUTED_VALUE"""),"Bahia (Região cacaueira) – Descrições e viagens; Bahia; (Região cacaueira) – História; Turismo - Bahia (Região; cacaueira); Cacau - Atlântico, Oceano, Costa (Bahia, Sul) –; Municípios; Escritores baianos-Biografia. I")</f>
        <v>Bahia (Região cacaueira) – Descrições e viagens; Bahia; (Região cacaueira) – História; Turismo - Bahia (Região; cacaueira); Cacau - Atlântico, Oceano, Costa (Bahia, Sul) –; Municípios; Escritores baianos-Biografia. I</v>
      </c>
      <c r="G408" s="28" t="str">
        <f>IFERROR(__xludf.DUMMYFUNCTION("""COMPUTED_VALUE"""),"8574551112")</f>
        <v>8574551112</v>
      </c>
      <c r="H408" s="29" t="str">
        <f>IFERROR(__xludf.DUMMYFUNCTION("""COMPUTED_VALUE"""),"http://www.uesc.br/editora/livrosdigitais2/esteja_gosto.pdf")</f>
        <v>http://www.uesc.br/editora/livrosdigitais2/esteja_gosto.pdf</v>
      </c>
      <c r="I408" s="24" t="str">
        <f>IFERROR(__xludf.DUMMYFUNCTION("""COMPUTED_VALUE"""),"Ciências Humanas")</f>
        <v>Ciências Humanas</v>
      </c>
    </row>
    <row r="409">
      <c r="A409" s="24" t="str">
        <f>IFERROR(__xludf.DUMMYFUNCTION("""COMPUTED_VALUE"""),"Estratégias educacionais diferenciadas para alunos com necessidades especiais")</f>
        <v>Estratégias educacionais diferenciadas para alunos com necessidades especiais</v>
      </c>
      <c r="B409" s="24" t="str">
        <f>IFERROR(__xludf.DUMMYFUNCTION("""COMPUTED_VALUE"""),"Rosana Glat e Denise Pletsch (orgs.)")</f>
        <v>Rosana Glat e Denise Pletsch (orgs.)</v>
      </c>
      <c r="C409" s="24" t="str">
        <f>IFERROR(__xludf.DUMMYFUNCTION("""COMPUTED_VALUE"""),"Rio de Janeiro")</f>
        <v>Rio de Janeiro</v>
      </c>
      <c r="D409" s="24" t="str">
        <f>IFERROR(__xludf.DUMMYFUNCTION("""COMPUTED_VALUE"""),"EdUERJ")</f>
        <v>EdUERJ</v>
      </c>
      <c r="E409" s="25">
        <f>IFERROR(__xludf.DUMMYFUNCTION("""COMPUTED_VALUE"""),2013.0)</f>
        <v>2013</v>
      </c>
      <c r="F409" s="24" t="str">
        <f>IFERROR(__xludf.DUMMYFUNCTION("""COMPUTED_VALUE"""),"Educação inclusiva; Educação especial; Estratégias educacionais; Educação")</f>
        <v>Educação inclusiva; Educação especial; Estratégias educacionais; Educação</v>
      </c>
      <c r="G409" s="28" t="str">
        <f>IFERROR(__xludf.DUMMYFUNCTION("""COMPUTED_VALUE"""),"9788575113059")</f>
        <v>9788575113059</v>
      </c>
      <c r="H409" s="29" t="str">
        <f>IFERROR(__xludf.DUMMYFUNCTION("""COMPUTED_VALUE"""),"https://www.eduerj.com/eng/?product=estrategias-educacionais-diferenciadas-para-alunos-com-necessidades-especiais-ebook")</f>
        <v>https://www.eduerj.com/eng/?product=estrategias-educacionais-diferenciadas-para-alunos-com-necessidades-especiais-ebook</v>
      </c>
      <c r="I409" s="24" t="str">
        <f>IFERROR(__xludf.DUMMYFUNCTION("""COMPUTED_VALUE"""),"Ciências Humanas")</f>
        <v>Ciências Humanas</v>
      </c>
    </row>
    <row r="410">
      <c r="A410" s="24" t="str">
        <f>IFERROR(__xludf.DUMMYFUNCTION("""COMPUTED_VALUE"""),"Estrategias territoriales para la ocupación del continente sudamericano: inserción de la periferia y institucionalización espacia")</f>
        <v>Estrategias territoriales para la ocupación del continente sudamericano: inserción de la periferia y institucionalización espacia</v>
      </c>
      <c r="B410" s="24" t="str">
        <f>IFERROR(__xludf.DUMMYFUNCTION("""COMPUTED_VALUE"""),"JADSON LUÍS REBELO PORTO; ALEJANDRO SCHWEITZER")</f>
        <v>JADSON LUÍS REBELO PORTO; ALEJANDRO SCHWEITZER</v>
      </c>
      <c r="C410" s="24" t="str">
        <f>IFERROR(__xludf.DUMMYFUNCTION("""COMPUTED_VALUE"""),"Macapá")</f>
        <v>Macapá</v>
      </c>
      <c r="D410" s="24" t="str">
        <f>IFERROR(__xludf.DUMMYFUNCTION("""COMPUTED_VALUE"""),"UNIFAP/UNPA-UARG,")</f>
        <v>UNIFAP/UNPA-UARG,</v>
      </c>
      <c r="E410" s="25">
        <f>IFERROR(__xludf.DUMMYFUNCTION("""COMPUTED_VALUE"""),2018.0)</f>
        <v>2018</v>
      </c>
      <c r="F410" s="24" t="str">
        <f>IFERROR(__xludf.DUMMYFUNCTION("""COMPUTED_VALUE"""),"Territórios Federais; Fronteira")</f>
        <v>Territórios Federais; Fronteira</v>
      </c>
      <c r="G410" s="28" t="str">
        <f>IFERROR(__xludf.DUMMYFUNCTION("""COMPUTED_VALUE"""),"9788554760342")</f>
        <v>9788554760342</v>
      </c>
      <c r="H410" s="29" t="str">
        <f>IFERROR(__xludf.DUMMYFUNCTION("""COMPUTED_VALUE"""),"https://www2.unifap.br/editora/files/2018/10/Estrategias-territoriales-para-la-ocupaci%c3%b3n-del-continente-sudamericano.pdf")</f>
        <v>https://www2.unifap.br/editora/files/2018/10/Estrategias-territoriales-para-la-ocupaci%c3%b3n-del-continente-sudamericano.pdf</v>
      </c>
      <c r="I410" s="24" t="str">
        <f>IFERROR(__xludf.DUMMYFUNCTION("""COMPUTED_VALUE"""),"Ciências Humanas")</f>
        <v>Ciências Humanas</v>
      </c>
    </row>
    <row r="411">
      <c r="A411" s="24" t="str">
        <f>IFERROR(__xludf.DUMMYFUNCTION("""COMPUTED_VALUE"""),"Estudantes indígenas no ensino superior: uma abordagem a partir da experiência na UFRGS")</f>
        <v>Estudantes indígenas no ensino superior: uma abordagem a partir da experiência na UFRGS</v>
      </c>
      <c r="B411" s="24" t="str">
        <f>IFERROR(__xludf.DUMMYFUNCTION("""COMPUTED_VALUE"""),"Universidade Federal do Rio Grande do Sul. Comissão de Acompanhamento dos Alunos do Programa de Ações Afirmativa ")</f>
        <v>Universidade Federal do Rio Grande do Sul. Comissão de Acompanhamento dos Alunos do Programa de Ações Afirmativa </v>
      </c>
      <c r="C411" s="24" t="str">
        <f>IFERROR(__xludf.DUMMYFUNCTION("""COMPUTED_VALUE"""),"Porto Alegre")</f>
        <v>Porto Alegre</v>
      </c>
      <c r="D411" s="24" t="str">
        <f>IFERROR(__xludf.DUMMYFUNCTION("""COMPUTED_VALUE"""),"UFRGS")</f>
        <v>UFRGS</v>
      </c>
      <c r="E411" s="25">
        <f>IFERROR(__xludf.DUMMYFUNCTION("""COMPUTED_VALUE"""),2013.0)</f>
        <v>2013</v>
      </c>
      <c r="F411" s="24" t="str">
        <f>IFERROR(__xludf.DUMMYFUNCTION("""COMPUTED_VALUE"""),"Educação indígena; Ensino superior; Interculturalidade")</f>
        <v>Educação indígena; Ensino superior; Interculturalidade</v>
      </c>
      <c r="G411" s="26"/>
      <c r="H411" s="29" t="str">
        <f>IFERROR(__xludf.DUMMYFUNCTION("""COMPUTED_VALUE"""),"http://hdl.handle.net/10183/199003")</f>
        <v>http://hdl.handle.net/10183/199003</v>
      </c>
      <c r="I411" s="24" t="str">
        <f>IFERROR(__xludf.DUMMYFUNCTION("""COMPUTED_VALUE"""),"Ciências Humanas")</f>
        <v>Ciências Humanas</v>
      </c>
    </row>
    <row r="412">
      <c r="A412" s="24" t="str">
        <f>IFERROR(__xludf.DUMMYFUNCTION("""COMPUTED_VALUE"""),"Estudos africanos: múltiplas abordagens")</f>
        <v>Estudos africanos: múltiplas abordagens</v>
      </c>
      <c r="B412" s="24" t="str">
        <f>IFERROR(__xludf.DUMMYFUNCTION("""COMPUTED_VALUE"""),"Alexandre Vieira Ribeiro, Alexsander Lemos de Almeida Gebara")</f>
        <v>Alexandre Vieira Ribeiro, Alexsander Lemos de Almeida Gebara</v>
      </c>
      <c r="C412" s="24" t="str">
        <f>IFERROR(__xludf.DUMMYFUNCTION("""COMPUTED_VALUE"""),"Niterói, RJ")</f>
        <v>Niterói, RJ</v>
      </c>
      <c r="D412" s="24" t="str">
        <f>IFERROR(__xludf.DUMMYFUNCTION("""COMPUTED_VALUE"""),"Editora da UFF")</f>
        <v>Editora da UFF</v>
      </c>
      <c r="E412" s="25">
        <f>IFERROR(__xludf.DUMMYFUNCTION("""COMPUTED_VALUE"""),2013.0)</f>
        <v>2013</v>
      </c>
      <c r="F412" s="24" t="str">
        <f>IFERROR(__xludf.DUMMYFUNCTION("""COMPUTED_VALUE"""),"África – História – Séc. XX; África – Estudos e ensino - Brasil")</f>
        <v>África – História – Séc. XX; África – Estudos e ensino - Brasil</v>
      </c>
      <c r="G412" s="28" t="str">
        <f>IFERROR(__xludf.DUMMYFUNCTION("""COMPUTED_VALUE"""),"9788522809301")</f>
        <v>9788522809301</v>
      </c>
      <c r="H412" s="29" t="str">
        <f>IFERROR(__xludf.DUMMYFUNCTION("""COMPUTED_VALUE"""),"http://www.eduff.uff.br/ebooks/Estudos-Africanos.pdf")</f>
        <v>http://www.eduff.uff.br/ebooks/Estudos-Africanos.pdf</v>
      </c>
      <c r="I412" s="24" t="str">
        <f>IFERROR(__xludf.DUMMYFUNCTION("""COMPUTED_VALUE"""),"Ciências Humanas")</f>
        <v>Ciências Humanas</v>
      </c>
    </row>
    <row r="413">
      <c r="A413" s="24" t="str">
        <f>IFERROR(__xludf.DUMMYFUNCTION("""COMPUTED_VALUE"""),"Estudos ambientais em regiões metropolitanas: o município de São Gonçalo")</f>
        <v>Estudos ambientais em regiões metropolitanas: o município de São Gonçalo</v>
      </c>
      <c r="B413" s="24" t="str">
        <f>IFERROR(__xludf.DUMMYFUNCTION("""COMPUTED_VALUE"""),"Marcelo Guerra Santos (org.)")</f>
        <v>Marcelo Guerra Santos (org.)</v>
      </c>
      <c r="C413" s="24" t="str">
        <f>IFERROR(__xludf.DUMMYFUNCTION("""COMPUTED_VALUE"""),"Rio de Janeiro")</f>
        <v>Rio de Janeiro</v>
      </c>
      <c r="D413" s="24" t="str">
        <f>IFERROR(__xludf.DUMMYFUNCTION("""COMPUTED_VALUE"""),"EdUERJ")</f>
        <v>EdUERJ</v>
      </c>
      <c r="E413" s="25">
        <f>IFERROR(__xludf.DUMMYFUNCTION("""COMPUTED_VALUE"""),2012.0)</f>
        <v>2012</v>
      </c>
      <c r="F413" s="24" t="str">
        <f>IFERROR(__xludf.DUMMYFUNCTION("""COMPUTED_VALUE"""),"Meio ambiente; Diversidade biológica; Estudos ambientais; São Gonçalo ")</f>
        <v>Meio ambiente; Diversidade biológica; Estudos ambientais; São Gonçalo </v>
      </c>
      <c r="G413" s="28" t="str">
        <f>IFERROR(__xludf.DUMMYFUNCTION("""COMPUTED_VALUE"""),"9788575112243")</f>
        <v>9788575112243</v>
      </c>
      <c r="H413" s="29" t="str">
        <f>IFERROR(__xludf.DUMMYFUNCTION("""COMPUTED_VALUE"""),"https://www.eduerj.com/eng/?product=estudos-ambientais-em-regioes-metropolitanas-o-municipio-de-sao-goncalo-ebook")</f>
        <v>https://www.eduerj.com/eng/?product=estudos-ambientais-em-regioes-metropolitanas-o-municipio-de-sao-goncalo-ebook</v>
      </c>
      <c r="I413" s="24" t="str">
        <f>IFERROR(__xludf.DUMMYFUNCTION("""COMPUTED_VALUE"""),"Ciências Humanas")</f>
        <v>Ciências Humanas</v>
      </c>
    </row>
    <row r="414">
      <c r="A414" s="24" t="str">
        <f>IFERROR(__xludf.DUMMYFUNCTION("""COMPUTED_VALUE"""),"Estudos da Tradição Itacoatiara na Paraiba: Subtradição Inga?")</f>
        <v>Estudos da Tradição Itacoatiara na Paraiba: Subtradição Inga?</v>
      </c>
      <c r="B414" s="24" t="str">
        <f>IFERROR(__xludf.DUMMYFUNCTION("""COMPUTED_VALUE"""),"Juvandi de Souza Santos")</f>
        <v>Juvandi de Souza Santos</v>
      </c>
      <c r="C414" s="24" t="str">
        <f>IFERROR(__xludf.DUMMYFUNCTION("""COMPUTED_VALUE"""),"Campina Grande")</f>
        <v>Campina Grande</v>
      </c>
      <c r="D414" s="24" t="str">
        <f>IFERROR(__xludf.DUMMYFUNCTION("""COMPUTED_VALUE"""),"EDUEPB")</f>
        <v>EDUEPB</v>
      </c>
      <c r="E414" s="25">
        <f>IFERROR(__xludf.DUMMYFUNCTION("""COMPUTED_VALUE"""),2015.0)</f>
        <v>2015</v>
      </c>
      <c r="F414" s="24" t="str">
        <f>IFERROR(__xludf.DUMMYFUNCTION("""COMPUTED_VALUE"""),"Arqueologia. Itacoatiara. Ingá. Subtradição")</f>
        <v>Arqueologia. Itacoatiara. Ingá. Subtradição</v>
      </c>
      <c r="G414" s="28" t="str">
        <f>IFERROR(__xludf.DUMMYFUNCTION("""COMPUTED_VALUE"""),"9788591240463")</f>
        <v>9788591240463</v>
      </c>
      <c r="H414" s="29" t="str">
        <f>IFERROR(__xludf.DUMMYFUNCTION("""COMPUTED_VALUE"""),"http://eduepb.uepb.edu.br/download/estudos-da-tradicao-itacoatiara-na-paraiba-subtradicao-inga/?wpdmdl=185&amp;amp;masterkey=5af99aa28e059")</f>
        <v>http://eduepb.uepb.edu.br/download/estudos-da-tradicao-itacoatiara-na-paraiba-subtradicao-inga/?wpdmdl=185&amp;amp;masterkey=5af99aa28e059</v>
      </c>
      <c r="I414" s="24" t="str">
        <f>IFERROR(__xludf.DUMMYFUNCTION("""COMPUTED_VALUE"""),"Ciências Humanas")</f>
        <v>Ciências Humanas</v>
      </c>
    </row>
    <row r="415">
      <c r="A415" s="24" t="str">
        <f>IFERROR(__xludf.DUMMYFUNCTION("""COMPUTED_VALUE"""),"Estudos de caso na educação básica no estado do Pará Licenciatura em Ciências naturais volume 1")</f>
        <v>Estudos de caso na educação básica no estado do Pará Licenciatura em Ciências naturais volume 1</v>
      </c>
      <c r="B415" s="24" t="str">
        <f>IFERROR(__xludf.DUMMYFUNCTION("""COMPUTED_VALUE"""),"Janae Gonçalves; Mônica de Nazaré Corrêa Ferreira Nascimento; Olga Maria Mendes Veloso (org.)")</f>
        <v>Janae Gonçalves; Mônica de Nazaré Corrêa Ferreira Nascimento; Olga Maria Mendes Veloso (org.)</v>
      </c>
      <c r="C415" s="24" t="str">
        <f>IFERROR(__xludf.DUMMYFUNCTION("""COMPUTED_VALUE"""),"Belém")</f>
        <v>Belém</v>
      </c>
      <c r="D415" s="24" t="str">
        <f>IFERROR(__xludf.DUMMYFUNCTION("""COMPUTED_VALUE"""),"Edufra")</f>
        <v>Edufra</v>
      </c>
      <c r="E415" s="25">
        <f>IFERROR(__xludf.DUMMYFUNCTION("""COMPUTED_VALUE"""),2019.0)</f>
        <v>2019</v>
      </c>
      <c r="F415" s="24" t="str">
        <f>IFERROR(__xludf.DUMMYFUNCTION("""COMPUTED_VALUE"""),"Educação ambiental; Educação – Ensino Fundamental; Resíduos sólidos; Sustentabilidade; Drogas – Uso")</f>
        <v>Educação ambiental; Educação – Ensino Fundamental; Resíduos sólidos; Sustentabilidade; Drogas – Uso</v>
      </c>
      <c r="G415" s="28" t="str">
        <f>IFERROR(__xludf.DUMMYFUNCTION("""COMPUTED_VALUE"""),"9788572951340")</f>
        <v>9788572951340</v>
      </c>
      <c r="H415" s="29" t="str">
        <f>IFERROR(__xludf.DUMMYFUNCTION("""COMPUTED_VALUE"""),"https://portaleditora.ufra.edu.br/images/parfor_vol_1_ultima_verso_e_definitiva_15052019.pdf")</f>
        <v>https://portaleditora.ufra.edu.br/images/parfor_vol_1_ultima_verso_e_definitiva_15052019.pdf</v>
      </c>
      <c r="I415" s="24" t="str">
        <f>IFERROR(__xludf.DUMMYFUNCTION("""COMPUTED_VALUE"""),"Ciências Humanas")</f>
        <v>Ciências Humanas</v>
      </c>
    </row>
    <row r="416">
      <c r="A416" s="24" t="str">
        <f>IFERROR(__xludf.DUMMYFUNCTION("""COMPUTED_VALUE"""),"Estudos Históricos sobre Rui Barbosa")</f>
        <v>Estudos Históricos sobre Rui Barbosa</v>
      </c>
      <c r="B416" s="24" t="str">
        <f>IFERROR(__xludf.DUMMYFUNCTION("""COMPUTED_VALUE"""),"Isabel Lustosa... (et al)")</f>
        <v>Isabel Lustosa... (et al)</v>
      </c>
      <c r="C416" s="24" t="str">
        <f>IFERROR(__xludf.DUMMYFUNCTION("""COMPUTED_VALUE"""),"Rio de Janeiro")</f>
        <v>Rio de Janeiro</v>
      </c>
      <c r="D416" s="24" t="str">
        <f>IFERROR(__xludf.DUMMYFUNCTION("""COMPUTED_VALUE"""),"Fundação Casa de Rui Barbosa")</f>
        <v>Fundação Casa de Rui Barbosa</v>
      </c>
      <c r="E416" s="25">
        <f>IFERROR(__xludf.DUMMYFUNCTION("""COMPUTED_VALUE"""),2000.0)</f>
        <v>2000</v>
      </c>
      <c r="F416" s="24" t="str">
        <f>IFERROR(__xludf.DUMMYFUNCTION("""COMPUTED_VALUE"""),"Barbosa, Rui, 1849-1923")</f>
        <v>Barbosa, Rui, 1849-1923</v>
      </c>
      <c r="G416" s="28" t="str">
        <f>IFERROR(__xludf.DUMMYFUNCTION("""COMPUTED_VALUE"""),"8570042205")</f>
        <v>8570042205</v>
      </c>
      <c r="H416" s="29" t="str">
        <f>IFERROR(__xludf.DUMMYFUNCTION("""COMPUTED_VALUE"""),"http://www.casaruibarbosa.gov.br/arquivos/file/Estudos%20Hist%C3%B3ricos%20sobre%20Rui%20Barbosa%20OCR(1).pdf")</f>
        <v>http://www.casaruibarbosa.gov.br/arquivos/file/Estudos%20Hist%C3%B3ricos%20sobre%20Rui%20Barbosa%20OCR(1).pdf</v>
      </c>
      <c r="I416" s="24" t="str">
        <f>IFERROR(__xludf.DUMMYFUNCTION("""COMPUTED_VALUE"""),"Ciências Humanas")</f>
        <v>Ciências Humanas</v>
      </c>
    </row>
    <row r="417">
      <c r="A417" s="24" t="str">
        <f>IFERROR(__xludf.DUMMYFUNCTION("""COMPUTED_VALUE"""),"Estudos sobre a educação brasileira: múltiplos olhares")</f>
        <v>Estudos sobre a educação brasileira: múltiplos olhares</v>
      </c>
      <c r="B417" s="24" t="str">
        <f>IFERROR(__xludf.DUMMYFUNCTION("""COMPUTED_VALUE"""),"TUFI MACHADO SOARES; ALICIA BONAMINO; ORGANIZAÇÃO")</f>
        <v>TUFI MACHADO SOARES; ALICIA BONAMINO; ORGANIZAÇÃO</v>
      </c>
      <c r="C417" s="24" t="str">
        <f>IFERROR(__xludf.DUMMYFUNCTION("""COMPUTED_VALUE"""),"Rio de Janeiro")</f>
        <v>Rio de Janeiro</v>
      </c>
      <c r="D417" s="24" t="str">
        <f>IFERROR(__xludf.DUMMYFUNCTION("""COMPUTED_VALUE"""),"Editora PUC Rio")</f>
        <v>Editora PUC Rio</v>
      </c>
      <c r="E417" s="25">
        <f>IFERROR(__xludf.DUMMYFUNCTION("""COMPUTED_VALUE"""),2017.0)</f>
        <v>2017</v>
      </c>
      <c r="F417" s="24" t="str">
        <f>IFERROR(__xludf.DUMMYFUNCTION("""COMPUTED_VALUE"""),"Educação – Estudo e ensino – Brasil. Sociologia educacional. Leitura – Estudo; e ensino. Escolas – Organização e administração")</f>
        <v>Educação – Estudo e ensino – Brasil. Sociologia educacional. Leitura – Estudo; e ensino. Escolas – Organização e administração</v>
      </c>
      <c r="G417" s="28" t="str">
        <f>IFERROR(__xludf.DUMMYFUNCTION("""COMPUTED_VALUE"""),"9788580062229")</f>
        <v>9788580062229</v>
      </c>
      <c r="H417" s="29" t="str">
        <f>IFERROR(__xludf.DUMMYFUNCTION("""COMPUTED_VALUE"""),"http://www.editora.puc-rio.br/media/miolo%20estudos%20sobre%20educa%C3%A7%C3%A3o.pdf")</f>
        <v>http://www.editora.puc-rio.br/media/miolo%20estudos%20sobre%20educa%C3%A7%C3%A3o.pdf</v>
      </c>
      <c r="I417" s="24" t="str">
        <f>IFERROR(__xludf.DUMMYFUNCTION("""COMPUTED_VALUE"""),"Ciências Humanas")</f>
        <v>Ciências Humanas</v>
      </c>
    </row>
    <row r="418">
      <c r="A418" s="24" t="str">
        <f>IFERROR(__xludf.DUMMYFUNCTION("""COMPUTED_VALUE"""),"Estudos sobre esparta")</f>
        <v>Estudos sobre esparta</v>
      </c>
      <c r="B418" s="24" t="str">
        <f>IFERROR(__xludf.DUMMYFUNCTION("""COMPUTED_VALUE"""),"Cerqueira, Fábio Vergara; Silva, Maria Aparecida de Oliveira")</f>
        <v>Cerqueira, Fábio Vergara; Silva, Maria Aparecida de Oliveira</v>
      </c>
      <c r="C418" s="24" t="str">
        <f>IFERROR(__xludf.DUMMYFUNCTION("""COMPUTED_VALUE"""),"Pelotas")</f>
        <v>Pelotas</v>
      </c>
      <c r="D418" s="24" t="str">
        <f>IFERROR(__xludf.DUMMYFUNCTION("""COMPUTED_VALUE"""),"UFPel")</f>
        <v>UFPel</v>
      </c>
      <c r="E418" s="25">
        <f>IFERROR(__xludf.DUMMYFUNCTION("""COMPUTED_VALUE"""),2019.0)</f>
        <v>2019</v>
      </c>
      <c r="F418" s="24" t="str">
        <f>IFERROR(__xludf.DUMMYFUNCTION("""COMPUTED_VALUE"""),"Esparta (Cidade extinta); Historiografia; História antiga")</f>
        <v>Esparta (Cidade extinta); Historiografia; História antiga</v>
      </c>
      <c r="G418" s="28" t="str">
        <f>IFERROR(__xludf.DUMMYFUNCTION("""COMPUTED_VALUE"""),"9788551700501")</f>
        <v>9788551700501</v>
      </c>
      <c r="H418" s="29" t="str">
        <f>IFERROR(__xludf.DUMMYFUNCTION("""COMPUTED_VALUE"""),"http://guaiaca.ufpel.edu.br:8080/bitstream/prefix/4795/1/Estudos-sobre-esparta%20.pdf")</f>
        <v>http://guaiaca.ufpel.edu.br:8080/bitstream/prefix/4795/1/Estudos-sobre-esparta%20.pdf</v>
      </c>
      <c r="I418" s="24" t="str">
        <f>IFERROR(__xludf.DUMMYFUNCTION("""COMPUTED_VALUE"""),"Ciências Humanas")</f>
        <v>Ciências Humanas</v>
      </c>
    </row>
    <row r="419">
      <c r="A419" s="24" t="str">
        <f>IFERROR(__xludf.DUMMYFUNCTION("""COMPUTED_VALUE"""),"Estudos sobre políticas culturais e gestão da cultura: análises do campo das produção acadêmica e de práticas culturais.")</f>
        <v>Estudos sobre políticas culturais e gestão da cultura: análises do campo das produção acadêmica e de práticas culturais.</v>
      </c>
      <c r="B419" s="24" t="str">
        <f>IFERROR(__xludf.DUMMYFUNCTION("""COMPUTED_VALUE"""),"Organização; lia calabre; alexandre domingues; ")</f>
        <v>Organização; lia calabre; alexandre domingues; </v>
      </c>
      <c r="C419" s="24" t="str">
        <f>IFERROR(__xludf.DUMMYFUNCTION("""COMPUTED_VALUE"""),"Rio de Janeiro")</f>
        <v>Rio de Janeiro</v>
      </c>
      <c r="D419" s="24" t="str">
        <f>IFERROR(__xludf.DUMMYFUNCTION("""COMPUTED_VALUE"""),"Fundação Casa de Rui Barbosa")</f>
        <v>Fundação Casa de Rui Barbosa</v>
      </c>
      <c r="E419" s="25">
        <f>IFERROR(__xludf.DUMMYFUNCTION("""COMPUTED_VALUE"""),2019.0)</f>
        <v>2019</v>
      </c>
      <c r="F419" s="24" t="str">
        <f>IFERROR(__xludf.DUMMYFUNCTION("""COMPUTED_VALUE"""),"Política cultural. Gestão da Cultura")</f>
        <v>Política cultural. Gestão da Cultura</v>
      </c>
      <c r="G419" s="28" t="str">
        <f>IFERROR(__xludf.DUMMYFUNCTION("""COMPUTED_VALUE"""),"9788570043979")</f>
        <v>9788570043979</v>
      </c>
      <c r="H419" s="29" t="str">
        <f>IFERROR(__xludf.DUMMYFUNCTION("""COMPUTED_VALUE"""),"http://www.casaruibarbosa.gov.br/arquivos/file/estudos-sobre-politicas_miolo.pdf")</f>
        <v>http://www.casaruibarbosa.gov.br/arquivos/file/estudos-sobre-politicas_miolo.pdf</v>
      </c>
      <c r="I419" s="24" t="str">
        <f>IFERROR(__xludf.DUMMYFUNCTION("""COMPUTED_VALUE"""),"Ciências Humanas")</f>
        <v>Ciências Humanas</v>
      </c>
    </row>
    <row r="420">
      <c r="A420" s="24" t="str">
        <f>IFERROR(__xludf.DUMMYFUNCTION("""COMPUTED_VALUE"""),"Estudos territoriais no Brasil e na Costa Rica")</f>
        <v>Estudos territoriais no Brasil e na Costa Rica</v>
      </c>
      <c r="B420" s="24" t="str">
        <f>IFERROR(__xludf.DUMMYFUNCTION("""COMPUTED_VALUE"""),"Glaucio José Marafon, Lilliam Quirós Arias, Meylin Alvarado Sánchez, organizadores.")</f>
        <v>Glaucio José Marafon, Lilliam Quirós Arias, Meylin Alvarado Sánchez, organizadores.</v>
      </c>
      <c r="C420" s="24" t="str">
        <f>IFERROR(__xludf.DUMMYFUNCTION("""COMPUTED_VALUE"""),"Rio de Janeiro, RJ")</f>
        <v>Rio de Janeiro, RJ</v>
      </c>
      <c r="D420" s="24" t="str">
        <f>IFERROR(__xludf.DUMMYFUNCTION("""COMPUTED_VALUE"""),"EdUERJ")</f>
        <v>EdUERJ</v>
      </c>
      <c r="E420" s="25">
        <f>IFERROR(__xludf.DUMMYFUNCTION("""COMPUTED_VALUE"""),2018.0)</f>
        <v>2018</v>
      </c>
      <c r="F420" s="24" t="str">
        <f>IFERROR(__xludf.DUMMYFUNCTION("""COMPUTED_VALUE"""),"Geografia - Brasil - Costa Rica. I. Marafon, Glaucio José")</f>
        <v>Geografia - Brasil - Costa Rica. I. Marafon, Glaucio José</v>
      </c>
      <c r="G420" s="28" t="str">
        <f>IFERROR(__xludf.DUMMYFUNCTION("""COMPUTED_VALUE"""),"9788575114735")</f>
        <v>9788575114735</v>
      </c>
      <c r="H420" s="29" t="str">
        <f>IFERROR(__xludf.DUMMYFUNCTION("""COMPUTED_VALUE"""),"http://books.scielo.org/id/j3jbg/pdf/marafon-9788575114995.pdf")</f>
        <v>http://books.scielo.org/id/j3jbg/pdf/marafon-9788575114995.pdf</v>
      </c>
      <c r="I420" s="24" t="str">
        <f>IFERROR(__xludf.DUMMYFUNCTION("""COMPUTED_VALUE"""),"Ciências Humanas")</f>
        <v>Ciências Humanas</v>
      </c>
    </row>
    <row r="421">
      <c r="A421" s="24" t="str">
        <f>IFERROR(__xludf.DUMMYFUNCTION("""COMPUTED_VALUE"""),"Ética e políticas da informação: agentes, regimes e mediações")</f>
        <v>Ética e políticas da informação: agentes, regimes e mediações</v>
      </c>
      <c r="B421" s="24" t="str">
        <f>IFERROR(__xludf.DUMMYFUNCTION("""COMPUTED_VALUE"""),"Lídia Silva de Freitas, Vitor Manoel Marques da Fonseca, Marcia Heloísa Tavares de Figueredo Lima (org.)")</f>
        <v>Lídia Silva de Freitas, Vitor Manoel Marques da Fonseca, Marcia Heloísa Tavares de Figueredo Lima (org.)</v>
      </c>
      <c r="C421" s="24" t="str">
        <f>IFERROR(__xludf.DUMMYFUNCTION("""COMPUTED_VALUE"""),"Niterói, RJ")</f>
        <v>Niterói, RJ</v>
      </c>
      <c r="D421" s="24" t="str">
        <f>IFERROR(__xludf.DUMMYFUNCTION("""COMPUTED_VALUE"""),"EDUFF")</f>
        <v>EDUFF</v>
      </c>
      <c r="E421" s="25">
        <f>IFERROR(__xludf.DUMMYFUNCTION("""COMPUTED_VALUE"""),2018.0)</f>
        <v>2018</v>
      </c>
      <c r="F421" s="24" t="str">
        <f>IFERROR(__xludf.DUMMYFUNCTION("""COMPUTED_VALUE"""),"Ciência da informação; Ética")</f>
        <v>Ciência da informação; Ética</v>
      </c>
      <c r="G421" s="28" t="str">
        <f>IFERROR(__xludf.DUMMYFUNCTION("""COMPUTED_VALUE"""),"9788522813391")</f>
        <v>9788522813391</v>
      </c>
      <c r="H421" s="29" t="str">
        <f>IFERROR(__xludf.DUMMYFUNCTION("""COMPUTED_VALUE"""),"http://bit.ly/2mqB7T6")</f>
        <v>http://bit.ly/2mqB7T6</v>
      </c>
      <c r="I421" s="24" t="str">
        <f>IFERROR(__xludf.DUMMYFUNCTION("""COMPUTED_VALUE"""),"Ciências Humanas")</f>
        <v>Ciências Humanas</v>
      </c>
    </row>
    <row r="422">
      <c r="A422" s="24" t="str">
        <f>IFERROR(__xludf.DUMMYFUNCTION("""COMPUTED_VALUE"""),"Ética socioambiental")</f>
        <v>Ética socioambiental</v>
      </c>
      <c r="B422" s="24" t="str">
        <f>IFERROR(__xludf.DUMMYFUNCTION("""COMPUTED_VALUE"""),"Josafá Carlos de Siqueira")</f>
        <v>Josafá Carlos de Siqueira</v>
      </c>
      <c r="C422" s="24" t="str">
        <f>IFERROR(__xludf.DUMMYFUNCTION("""COMPUTED_VALUE"""),"Rio de Janeiro")</f>
        <v>Rio de Janeiro</v>
      </c>
      <c r="D422" s="24" t="str">
        <f>IFERROR(__xludf.DUMMYFUNCTION("""COMPUTED_VALUE"""),"Editora PUC Rio")</f>
        <v>Editora PUC Rio</v>
      </c>
      <c r="E422" s="25">
        <f>IFERROR(__xludf.DUMMYFUNCTION("""COMPUTED_VALUE"""),2009.0)</f>
        <v>2009</v>
      </c>
      <c r="F422" s="24" t="str">
        <f>IFERROR(__xludf.DUMMYFUNCTION("""COMPUTED_VALUE"""),"Ambientalismo. Desenvolvimento sustentável. Educação ambiental. Ética. Diversidade biológica")</f>
        <v>Ambientalismo. Desenvolvimento sustentável. Educação ambiental. Ética. Diversidade biológica</v>
      </c>
      <c r="G422" s="28" t="str">
        <f>IFERROR(__xludf.DUMMYFUNCTION("""COMPUTED_VALUE"""),"9788587926531")</f>
        <v>9788587926531</v>
      </c>
      <c r="H422" s="29" t="str">
        <f>IFERROR(__xludf.DUMMYFUNCTION("""COMPUTED_VALUE"""),"http://www.editora.puc-rio.br/media/ebook_etica_socioambiental.pdf")</f>
        <v>http://www.editora.puc-rio.br/media/ebook_etica_socioambiental.pdf</v>
      </c>
      <c r="I422" s="24" t="str">
        <f>IFERROR(__xludf.DUMMYFUNCTION("""COMPUTED_VALUE"""),"Ciências Humanas")</f>
        <v>Ciências Humanas</v>
      </c>
    </row>
    <row r="423">
      <c r="A423" s="24" t="str">
        <f>IFERROR(__xludf.DUMMYFUNCTION("""COMPUTED_VALUE"""),"Etnodesenvolvimento e mediações político-culturais no mundo rural")</f>
        <v>Etnodesenvolvimento e mediações político-culturais no mundo rural</v>
      </c>
      <c r="B423" s="24" t="str">
        <f>IFERROR(__xludf.DUMMYFUNCTION("""COMPUTED_VALUE"""),"Anjos, José Carlos Gomes dos; Leitão, Leonardo Rafael Santos ")</f>
        <v>Anjos, José Carlos Gomes dos; Leitão, Leonardo Rafael Santos </v>
      </c>
      <c r="C423" s="24" t="str">
        <f>IFERROR(__xludf.DUMMYFUNCTION("""COMPUTED_VALUE"""),"Porto Alegre")</f>
        <v>Porto Alegre</v>
      </c>
      <c r="D423" s="24" t="str">
        <f>IFERROR(__xludf.DUMMYFUNCTION("""COMPUTED_VALUE"""),"UFRGS")</f>
        <v>UFRGS</v>
      </c>
      <c r="E423" s="25">
        <f>IFERROR(__xludf.DUMMYFUNCTION("""COMPUTED_VALUE"""),2009.0)</f>
        <v>2009</v>
      </c>
      <c r="F423" s="24" t="str">
        <f>IFERROR(__xludf.DUMMYFUNCTION("""COMPUTED_VALUE"""),"Antropologia; Etnografia; Políticas sociais; Territorialidade")</f>
        <v>Antropologia; Etnografia; Políticas sociais; Territorialidade</v>
      </c>
      <c r="G423" s="28" t="str">
        <f>IFERROR(__xludf.DUMMYFUNCTION("""COMPUTED_VALUE"""),"9788538600732")</f>
        <v>9788538600732</v>
      </c>
      <c r="H423" s="29" t="str">
        <f>IFERROR(__xludf.DUMMYFUNCTION("""COMPUTED_VALUE"""),"http://hdl.handle.net/10183/52808")</f>
        <v>http://hdl.handle.net/10183/52808</v>
      </c>
      <c r="I423" s="24" t="str">
        <f>IFERROR(__xludf.DUMMYFUNCTION("""COMPUTED_VALUE"""),"Ciências Humanas")</f>
        <v>Ciências Humanas</v>
      </c>
    </row>
    <row r="424">
      <c r="A424" s="24" t="str">
        <f>IFERROR(__xludf.DUMMYFUNCTION("""COMPUTED_VALUE"""),"Etnodesenvolvimento em terras indígenas: uma abordagem integradora ")</f>
        <v>Etnodesenvolvimento em terras indígenas: uma abordagem integradora </v>
      </c>
      <c r="B424" s="24" t="str">
        <f>IFERROR(__xludf.DUMMYFUNCTION("""COMPUTED_VALUE"""),"Vito Comar, Enrique Ortega Rodriguez, José Maria Gusman Ferraz")</f>
        <v>Vito Comar, Enrique Ortega Rodriguez, José Maria Gusman Ferraz</v>
      </c>
      <c r="C424" s="24" t="str">
        <f>IFERROR(__xludf.DUMMYFUNCTION("""COMPUTED_VALUE"""),"Dourados, MS")</f>
        <v>Dourados, MS</v>
      </c>
      <c r="D424" s="24" t="str">
        <f>IFERROR(__xludf.DUMMYFUNCTION("""COMPUTED_VALUE"""),"Ed. Universidade Federal da Grande Dourados")</f>
        <v>Ed. Universidade Federal da Grande Dourados</v>
      </c>
      <c r="E424" s="25">
        <f>IFERROR(__xludf.DUMMYFUNCTION("""COMPUTED_VALUE"""),2019.0)</f>
        <v>2019</v>
      </c>
      <c r="F424" s="24" t="str">
        <f>IFERROR(__xludf.DUMMYFUNCTION("""COMPUTED_VALUE"""),"Índios da América do Sul - Brasil - Relações com o governo; Reserva Indígena Dourados (MS) e Sistemas agrolorestais; Reserva Indígena Dourados (MS); Geograia humana")</f>
        <v>Índios da América do Sul - Brasil - Relações com o governo; Reserva Indígena Dourados (MS) e Sistemas agrolorestais; Reserva Indígena Dourados (MS); Geograia humana</v>
      </c>
      <c r="G424" s="28" t="str">
        <f>IFERROR(__xludf.DUMMYFUNCTION("""COMPUTED_VALUE"""),"9788581471655")</f>
        <v>9788581471655</v>
      </c>
      <c r="H424" s="29" t="str">
        <f>IFERROR(__xludf.DUMMYFUNCTION("""COMPUTED_VALUE"""),"http://omp.ufgd.edu.br/omp/index.php/livrosabertos/catalog/view/102/239/520-1")</f>
        <v>http://omp.ufgd.edu.br/omp/index.php/livrosabertos/catalog/view/102/239/520-1</v>
      </c>
      <c r="I424" s="24" t="str">
        <f>IFERROR(__xludf.DUMMYFUNCTION("""COMPUTED_VALUE"""),"Ciências Humanas")</f>
        <v>Ciências Humanas</v>
      </c>
    </row>
    <row r="425">
      <c r="A425" s="24" t="str">
        <f>IFERROR(__xludf.DUMMYFUNCTION("""COMPUTED_VALUE"""),"Etnograia e iconograia nos registros produzidos por Hércules Florence durante expedição Langsdorff na província do Mato Grosso (1826-1829)")</f>
        <v>Etnograia e iconograia nos registros produzidos por Hércules Florence durante expedição Langsdorff na província do Mato Grosso (1826-1829)</v>
      </c>
      <c r="B425" s="24" t="str">
        <f>IFERROR(__xludf.DUMMYFUNCTION("""COMPUTED_VALUE"""),"Sonia Maria Couto Pereira")</f>
        <v>Sonia Maria Couto Pereira</v>
      </c>
      <c r="C425" s="24" t="str">
        <f>IFERROR(__xludf.DUMMYFUNCTION("""COMPUTED_VALUE"""),"Dourados, MS")</f>
        <v>Dourados, MS</v>
      </c>
      <c r="D425" s="24" t="str">
        <f>IFERROR(__xludf.DUMMYFUNCTION("""COMPUTED_VALUE"""),"Ed. UFGD")</f>
        <v>Ed. UFGD</v>
      </c>
      <c r="E425" s="25">
        <f>IFERROR(__xludf.DUMMYFUNCTION("""COMPUTED_VALUE"""),2016.0)</f>
        <v>2016</v>
      </c>
      <c r="F425" s="24" t="str">
        <f>IFERROR(__xludf.DUMMYFUNCTION("""COMPUTED_VALUE"""),"Etnograia; Iconograia; Mato Grosso – século XIX")</f>
        <v>Etnograia; Iconograia; Mato Grosso – século XIX</v>
      </c>
      <c r="G425" s="28" t="str">
        <f>IFERROR(__xludf.DUMMYFUNCTION("""COMPUTED_VALUE"""),"9788581470993")</f>
        <v>9788581470993</v>
      </c>
      <c r="H425" s="29" t="str">
        <f>IFERROR(__xludf.DUMMYFUNCTION("""COMPUTED_VALUE"""),"http://omp.ufgd.edu.br/omp/index.php/livrosabertos/catalog/view/103/238/530-1")</f>
        <v>http://omp.ufgd.edu.br/omp/index.php/livrosabertos/catalog/view/103/238/530-1</v>
      </c>
      <c r="I425" s="24" t="str">
        <f>IFERROR(__xludf.DUMMYFUNCTION("""COMPUTED_VALUE"""),"Ciências Humanas")</f>
        <v>Ciências Humanas</v>
      </c>
    </row>
    <row r="426">
      <c r="A426" s="24" t="str">
        <f>IFERROR(__xludf.DUMMYFUNCTION("""COMPUTED_VALUE"""),"Etnopsicologia no Brasil: teorias, procedimentos, resultados")</f>
        <v>Etnopsicologia no Brasil: teorias, procedimentos, resultados</v>
      </c>
      <c r="B426" s="24" t="str">
        <f>IFERROR(__xludf.DUMMYFUNCTION("""COMPUTED_VALUE"""),"José Francisco Miguel Henriques Bairrão, Maria Thereza Ávila Dantas Coelho (org.)")</f>
        <v>José Francisco Miguel Henriques Bairrão, Maria Thereza Ávila Dantas Coelho (org.)</v>
      </c>
      <c r="C426" s="24" t="str">
        <f>IFERROR(__xludf.DUMMYFUNCTION("""COMPUTED_VALUE"""),"Salvador")</f>
        <v>Salvador</v>
      </c>
      <c r="D426" s="24" t="str">
        <f>IFERROR(__xludf.DUMMYFUNCTION("""COMPUTED_VALUE"""),"EDUFBA")</f>
        <v>EDUFBA</v>
      </c>
      <c r="E426" s="25">
        <f>IFERROR(__xludf.DUMMYFUNCTION("""COMPUTED_VALUE"""),2015.0)</f>
        <v>2015</v>
      </c>
      <c r="F426" s="24" t="str">
        <f>IFERROR(__xludf.DUMMYFUNCTION("""COMPUTED_VALUE"""),"Etnopsicologia; Psicologia étnica; Antropologia simbólica; Psicanálise")</f>
        <v>Etnopsicologia; Psicologia étnica; Antropologia simbólica; Psicanálise</v>
      </c>
      <c r="G426" s="28" t="str">
        <f>IFERROR(__xludf.DUMMYFUNCTION("""COMPUTED_VALUE"""),"9788523212599")</f>
        <v>9788523212599</v>
      </c>
      <c r="H426" s="29" t="str">
        <f>IFERROR(__xludf.DUMMYFUNCTION("""COMPUTED_VALUE"""),"http://repositorio.ufba.br/ri/handle/ri/18029")</f>
        <v>http://repositorio.ufba.br/ri/handle/ri/18029</v>
      </c>
      <c r="I426" s="24" t="str">
        <f>IFERROR(__xludf.DUMMYFUNCTION("""COMPUTED_VALUE"""),"Ciências Humanas")</f>
        <v>Ciências Humanas</v>
      </c>
    </row>
    <row r="427">
      <c r="A427" s="24" t="str">
        <f>IFERROR(__xludf.DUMMYFUNCTION("""COMPUTED_VALUE"""),"Exclusão social e ruptura dos laços sociais: análise crítica do debate contemporâneo")</f>
        <v>Exclusão social e ruptura dos laços sociais: análise crítica do debate contemporâneo</v>
      </c>
      <c r="B427" s="24" t="str">
        <f>IFERROR(__xludf.DUMMYFUNCTION("""COMPUTED_VALUE"""),"Leal, Giuliana Franco (org.)")</f>
        <v>Leal, Giuliana Franco (org.)</v>
      </c>
      <c r="C427" s="24" t="str">
        <f>IFERROR(__xludf.DUMMYFUNCTION("""COMPUTED_VALUE"""),"Florianópolis")</f>
        <v>Florianópolis</v>
      </c>
      <c r="D427" s="24" t="str">
        <f>IFERROR(__xludf.DUMMYFUNCTION("""COMPUTED_VALUE"""),"Editora da UFSC")</f>
        <v>Editora da UFSC</v>
      </c>
      <c r="E427" s="25">
        <f>IFERROR(__xludf.DUMMYFUNCTION("""COMPUTED_VALUE"""),2011.0)</f>
        <v>2011</v>
      </c>
      <c r="F427" s="24" t="str">
        <f>IFERROR(__xludf.DUMMYFUNCTION("""COMPUTED_VALUE"""),"Sociologia;Isolamento social;Marginalidade social")</f>
        <v>Sociologia;Isolamento social;Marginalidade social</v>
      </c>
      <c r="G427" s="28" t="str">
        <f>IFERROR(__xludf.DUMMYFUNCTION("""COMPUTED_VALUE"""),"9788532805638")</f>
        <v>9788532805638</v>
      </c>
      <c r="H427" s="29" t="str">
        <f>IFERROR(__xludf.DUMMYFUNCTION("""COMPUTED_VALUE"""),"https://repositorio.ufsc.br/handle/123456789/187612")</f>
        <v>https://repositorio.ufsc.br/handle/123456789/187612</v>
      </c>
      <c r="I427" s="24" t="str">
        <f>IFERROR(__xludf.DUMMYFUNCTION("""COMPUTED_VALUE"""),"Ciências Humanas")</f>
        <v>Ciências Humanas</v>
      </c>
    </row>
    <row r="428">
      <c r="A428" s="24" t="str">
        <f>IFERROR(__xludf.DUMMYFUNCTION("""COMPUTED_VALUE"""),"Êxetina uné = conto das águas")</f>
        <v>Êxetina uné = conto das águas</v>
      </c>
      <c r="B428" s="24" t="str">
        <f>IFERROR(__xludf.DUMMYFUNCTION("""COMPUTED_VALUE"""),"Comitê Editorial Cone Sul Ação Saberes Indígenas na Escola.")</f>
        <v>Comitê Editorial Cone Sul Ação Saberes Indígenas na Escola.</v>
      </c>
      <c r="C428" s="24" t="str">
        <f>IFERROR(__xludf.DUMMYFUNCTION("""COMPUTED_VALUE"""),"Dourados, MS")</f>
        <v>Dourados, MS</v>
      </c>
      <c r="D428" s="24" t="str">
        <f>IFERROR(__xludf.DUMMYFUNCTION("""COMPUTED_VALUE"""),"Ed. Universidade Federalda Grande Dourados")</f>
        <v>Ed. Universidade Federalda Grande Dourados</v>
      </c>
      <c r="E428" s="25">
        <f>IFERROR(__xludf.DUMMYFUNCTION("""COMPUTED_VALUE"""),2019.0)</f>
        <v>2019</v>
      </c>
      <c r="F428" s="24" t="str">
        <f>IFERROR(__xludf.DUMMYFUNCTION("""COMPUTED_VALUE"""),"Mitos indígenas (Brasil); Índios Guarani Kaiowá – Literatura infantojuvenil; Literatura infantojuvenil brasileira - Escritoresindígenas; Mito terena; Etnografia")</f>
        <v>Mitos indígenas (Brasil); Índios Guarani Kaiowá – Literatura infantojuvenil; Literatura infantojuvenil brasileira - Escritoresindígenas; Mito terena; Etnografia</v>
      </c>
      <c r="G428" s="28" t="str">
        <f>IFERROR(__xludf.DUMMYFUNCTION("""COMPUTED_VALUE"""),"9788581471730")</f>
        <v>9788581471730</v>
      </c>
      <c r="H428" s="29" t="str">
        <f>IFERROR(__xludf.DUMMYFUNCTION("""COMPUTED_VALUE"""),"http://omp.ufgd.edu.br/omp/index.php/livrosabertos/catalog/view/258/254/562-1")</f>
        <v>http://omp.ufgd.edu.br/omp/index.php/livrosabertos/catalog/view/258/254/562-1</v>
      </c>
      <c r="I428" s="24" t="str">
        <f>IFERROR(__xludf.DUMMYFUNCTION("""COMPUTED_VALUE"""),"Ciências Humanas")</f>
        <v>Ciências Humanas</v>
      </c>
    </row>
    <row r="429">
      <c r="A429" s="24" t="str">
        <f>IFERROR(__xludf.DUMMYFUNCTION("""COMPUTED_VALUE"""),"Experências em Educação do Campo")</f>
        <v>Experências em Educação do Campo</v>
      </c>
      <c r="B429" s="24" t="str">
        <f>IFERROR(__xludf.DUMMYFUNCTION("""COMPUTED_VALUE"""),"Fábio Soares da Paz; Gardner de Andrade Arrais; Lauro Araújo Mota (org.)")</f>
        <v>Fábio Soares da Paz; Gardner de Andrade Arrais; Lauro Araújo Mota (org.)</v>
      </c>
      <c r="C429" s="24" t="str">
        <f>IFERROR(__xludf.DUMMYFUNCTION("""COMPUTED_VALUE"""),"Teresina")</f>
        <v>Teresina</v>
      </c>
      <c r="D429" s="24" t="str">
        <f>IFERROR(__xludf.DUMMYFUNCTION("""COMPUTED_VALUE"""),"EDUFPI")</f>
        <v>EDUFPI</v>
      </c>
      <c r="E429" s="25">
        <f>IFERROR(__xludf.DUMMYFUNCTION("""COMPUTED_VALUE"""),2017.0)</f>
        <v>2017</v>
      </c>
      <c r="F429" s="24" t="str">
        <f>IFERROR(__xludf.DUMMYFUNCTION("""COMPUTED_VALUE"""),"Educação do campo; Educação rural; Educação")</f>
        <v>Educação do campo; Educação rural; Educação</v>
      </c>
      <c r="G429" s="28" t="str">
        <f>IFERROR(__xludf.DUMMYFUNCTION("""COMPUTED_VALUE"""),"9788550901909")</f>
        <v>9788550901909</v>
      </c>
      <c r="H429" s="29" t="str">
        <f>IFERROR(__xludf.DUMMYFUNCTION("""COMPUTED_VALUE"""),"https://www.ufpi.br/arquivos_download/arquivos/EDUFPI/LIVRO_EXPERIENCIA_EM_EDUCA%C3%87%C3%83O_DO_CAMPO_EBOOK.pdf")</f>
        <v>https://www.ufpi.br/arquivos_download/arquivos/EDUFPI/LIVRO_EXPERIENCIA_EM_EDUCA%C3%87%C3%83O_DO_CAMPO_EBOOK.pdf</v>
      </c>
      <c r="I429" s="24" t="str">
        <f>IFERROR(__xludf.DUMMYFUNCTION("""COMPUTED_VALUE"""),"Ciências Humanas")</f>
        <v>Ciências Humanas</v>
      </c>
    </row>
    <row r="430">
      <c r="A430" s="24" t="str">
        <f>IFERROR(__xludf.DUMMYFUNCTION("""COMPUTED_VALUE"""),"Experiências com Psicanálise na Universidade: ensino, pesquisa e extensão")</f>
        <v>Experiências com Psicanálise na Universidade: ensino, pesquisa e extensão</v>
      </c>
      <c r="B430" s="24" t="str">
        <f>IFERROR(__xludf.DUMMYFUNCTION("""COMPUTED_VALUE"""),"Maria Thereza Ávila Dantas Coelho, Sergio Augusto Franco Fernandes, Suely Aires, organização")</f>
        <v>Maria Thereza Ávila Dantas Coelho, Sergio Augusto Franco Fernandes, Suely Aires, organização</v>
      </c>
      <c r="C430" s="24" t="str">
        <f>IFERROR(__xludf.DUMMYFUNCTION("""COMPUTED_VALUE"""),"Salvador")</f>
        <v>Salvador</v>
      </c>
      <c r="D430" s="24" t="str">
        <f>IFERROR(__xludf.DUMMYFUNCTION("""COMPUTED_VALUE"""),"EDUFBA")</f>
        <v>EDUFBA</v>
      </c>
      <c r="E430" s="25">
        <f>IFERROR(__xludf.DUMMYFUNCTION("""COMPUTED_VALUE"""),2016.0)</f>
        <v>2016</v>
      </c>
      <c r="F430" s="24" t="str">
        <f>IFERROR(__xludf.DUMMYFUNCTION("""COMPUTED_VALUE"""),"Psicanálise; Universidades; Ensino; Pesquisa; Extensão")</f>
        <v>Psicanálise; Universidades; Ensino; Pesquisa; Extensão</v>
      </c>
      <c r="G430" s="28" t="str">
        <f>IFERROR(__xludf.DUMMYFUNCTION("""COMPUTED_VALUE"""),"9788523215354")</f>
        <v>9788523215354</v>
      </c>
      <c r="H430" s="29" t="str">
        <f>IFERROR(__xludf.DUMMYFUNCTION("""COMPUTED_VALUE"""),"http://repositorio.ufba.br/ri/handle/ri/20950")</f>
        <v>http://repositorio.ufba.br/ri/handle/ri/20950</v>
      </c>
      <c r="I430" s="24" t="str">
        <f>IFERROR(__xludf.DUMMYFUNCTION("""COMPUTED_VALUE"""),"Ciências Humanas")</f>
        <v>Ciências Humanas</v>
      </c>
    </row>
    <row r="431">
      <c r="A431" s="24" t="str">
        <f>IFERROR(__xludf.DUMMYFUNCTION("""COMPUTED_VALUE"""),"Experiências e reflexões no Curso de Educação, Pobreza e Desigualdade Social: trabalhos de conclusão de curso dos alunos formados em Alvorada, Novo Hamburgo, Porto Alegre, São Leopoldo, Santo Antônio da Patrulha e Sapiranga")</f>
        <v>Experiências e reflexões no Curso de Educação, Pobreza e Desigualdade Social: trabalhos de conclusão de curso dos alunos formados em Alvorada, Novo Hamburgo, Porto Alegre, São Leopoldo, Santo Antônio da Patrulha e Sapiranga</v>
      </c>
      <c r="B431" s="24" t="str">
        <f>IFERROR(__xludf.DUMMYFUNCTION("""COMPUTED_VALUE"""),"Zitkoski, Jaime José; Genro, Maria Elly Herz; Lopes, Dilmar Luiz; Ely, Luciane Inês; Cavalcante, Marcia Albuquerque ")</f>
        <v>Zitkoski, Jaime José; Genro, Maria Elly Herz; Lopes, Dilmar Luiz; Ely, Luciane Inês; Cavalcante, Marcia Albuquerque </v>
      </c>
      <c r="C431" s="24" t="str">
        <f>IFERROR(__xludf.DUMMYFUNCTION("""COMPUTED_VALUE"""),"Porto Alegre")</f>
        <v>Porto Alegre</v>
      </c>
      <c r="D431" s="24" t="str">
        <f>IFERROR(__xludf.DUMMYFUNCTION("""COMPUTED_VALUE"""),"UFRGS")</f>
        <v>UFRGS</v>
      </c>
      <c r="E431" s="25">
        <f>IFERROR(__xludf.DUMMYFUNCTION("""COMPUTED_VALUE"""),2019.0)</f>
        <v>2019</v>
      </c>
      <c r="F431" s="24" t="str">
        <f>IFERROR(__xludf.DUMMYFUNCTION("""COMPUTED_VALUE"""),"Desigualdade social; Formação de professores; Pobreza; Programa Bolsa Família")</f>
        <v>Desigualdade social; Formação de professores; Pobreza; Programa Bolsa Família</v>
      </c>
      <c r="G431" s="28" t="str">
        <f>IFERROR(__xludf.DUMMYFUNCTION("""COMPUTED_VALUE"""),"9788538604976 (pdf) 9788538604983 (epub)")</f>
        <v>9788538604976 (pdf) 9788538604983 (epub)</v>
      </c>
      <c r="H431" s="29" t="str">
        <f>IFERROR(__xludf.DUMMYFUNCTION("""COMPUTED_VALUE"""),"http://hdl.handle.net/10183/205735")</f>
        <v>http://hdl.handle.net/10183/205735</v>
      </c>
      <c r="I431" s="24" t="str">
        <f>IFERROR(__xludf.DUMMYFUNCTION("""COMPUTED_VALUE"""),"Ciências Humanas")</f>
        <v>Ciências Humanas</v>
      </c>
    </row>
    <row r="432">
      <c r="A432" s="24" t="str">
        <f>IFERROR(__xludf.DUMMYFUNCTION("""COMPUTED_VALUE"""),"Experiências interdisciplinares para a construção deconhecimentos solidário")</f>
        <v>Experiências interdisciplinares para a construção deconhecimentos solidário</v>
      </c>
      <c r="B432" s="24" t="str">
        <f>IFERROR(__xludf.DUMMYFUNCTION("""COMPUTED_VALUE"""),"(org.)Marisa de Fátima Lomba de Farias , Euclides Reuter de Oliveira , André Luiz Faisting .")</f>
        <v>(org.)Marisa de Fátima Lomba de Farias , Euclides Reuter de Oliveira , André Luiz Faisting .</v>
      </c>
      <c r="C432" s="24" t="str">
        <f>IFERROR(__xludf.DUMMYFUNCTION("""COMPUTED_VALUE"""),"Dourados, MS")</f>
        <v>Dourados, MS</v>
      </c>
      <c r="D432" s="24" t="str">
        <f>IFERROR(__xludf.DUMMYFUNCTION("""COMPUTED_VALUE"""),"Ed. UFGD")</f>
        <v>Ed. UFGD</v>
      </c>
      <c r="E432" s="25">
        <f>IFERROR(__xludf.DUMMYFUNCTION("""COMPUTED_VALUE"""),2013.0)</f>
        <v>2013</v>
      </c>
      <c r="F432" s="24" t="str">
        <f>IFERROR(__xludf.DUMMYFUNCTION("""COMPUTED_VALUE"""),"Integração social; Extensão rural; Produção animal -vegetal; Multidisciplinaridade ")</f>
        <v>Integração social; Extensão rural; Produção animal -vegetal; Multidisciplinaridade </v>
      </c>
      <c r="G432" s="28" t="str">
        <f>IFERROR(__xludf.DUMMYFUNCTION("""COMPUTED_VALUE"""),"9788581470115")</f>
        <v>9788581470115</v>
      </c>
      <c r="H432" s="29" t="str">
        <f>IFERROR(__xludf.DUMMYFUNCTION("""COMPUTED_VALUE"""),"http://omp.ufgd.edu.br/omp/index.php/livrosabertos/catalog/view/104/237/519-1")</f>
        <v>http://omp.ufgd.edu.br/omp/index.php/livrosabertos/catalog/view/104/237/519-1</v>
      </c>
      <c r="I432" s="24" t="str">
        <f>IFERROR(__xludf.DUMMYFUNCTION("""COMPUTED_VALUE"""),"Ciências Humanas")</f>
        <v>Ciências Humanas</v>
      </c>
    </row>
    <row r="433">
      <c r="A433" s="24" t="str">
        <f>IFERROR(__xludf.DUMMYFUNCTION("""COMPUTED_VALUE"""),"Experiências na formação de professores: cinco anos do PIBID/ PUC-Rio")</f>
        <v>Experiências na formação de professores: cinco anos do PIBID/ PUC-Rio</v>
      </c>
      <c r="B433" s="24" t="str">
        <f>IFERROR(__xludf.DUMMYFUNCTION("""COMPUTED_VALUE"""),"organização; Maria Rita Passeri Salomão; Ana Paula Soares Carvalho; Rejane Cristina de Araujo Rodrigues")</f>
        <v>organização; Maria Rita Passeri Salomão; Ana Paula Soares Carvalho; Rejane Cristina de Araujo Rodrigues</v>
      </c>
      <c r="C433" s="24" t="str">
        <f>IFERROR(__xludf.DUMMYFUNCTION("""COMPUTED_VALUE"""),"Rio de Janeiro")</f>
        <v>Rio de Janeiro</v>
      </c>
      <c r="D433" s="24" t="str">
        <f>IFERROR(__xludf.DUMMYFUNCTION("""COMPUTED_VALUE"""),"Editora PUC Rio")</f>
        <v>Editora PUC Rio</v>
      </c>
      <c r="E433" s="25">
        <f>IFERROR(__xludf.DUMMYFUNCTION("""COMPUTED_VALUE"""),2017.0)</f>
        <v>2017</v>
      </c>
      <c r="F433" s="24" t="str">
        <f>IFERROR(__xludf.DUMMYFUNCTION("""COMPUTED_VALUE"""),"Professores – Formação. Pontifícia Universidade Católica do Rio de Janeiro.; Programa Institucional de Bolsa de Iniciação à Docência")</f>
        <v>Professores – Formação. Pontifícia Universidade Católica do Rio de Janeiro.; Programa Institucional de Bolsa de Iniciação à Docência</v>
      </c>
      <c r="G433" s="28" t="str">
        <f>IFERROR(__xludf.DUMMYFUNCTION("""COMPUTED_VALUE"""),"9788580062359")</f>
        <v>9788580062359</v>
      </c>
      <c r="H433" s="29" t="str">
        <f>IFERROR(__xludf.DUMMYFUNCTION("""COMPUTED_VALUE"""),"http://www.editora.puc-rio.br/media/Miolo%20pibid.pdf")</f>
        <v>http://www.editora.puc-rio.br/media/Miolo%20pibid.pdf</v>
      </c>
      <c r="I433" s="24" t="str">
        <f>IFERROR(__xludf.DUMMYFUNCTION("""COMPUTED_VALUE"""),"Ciências Humanas")</f>
        <v>Ciências Humanas</v>
      </c>
    </row>
    <row r="434">
      <c r="A434" s="24" t="str">
        <f>IFERROR(__xludf.DUMMYFUNCTION("""COMPUTED_VALUE"""),"Extensão e políticas públicas: o agir integrado para o desenvolvimento social")</f>
        <v>Extensão e políticas públicas: o agir integrado para o desenvolvimento social</v>
      </c>
      <c r="B434" s="24" t="str">
        <f>IFERROR(__xludf.DUMMYFUNCTION("""COMPUTED_VALUE"""),"organizador, Felipe Addor")</f>
        <v>organizador, Felipe Addor</v>
      </c>
      <c r="C434" s="24" t="str">
        <f>IFERROR(__xludf.DUMMYFUNCTION("""COMPUTED_VALUE"""),"Rio de Janeiro")</f>
        <v>Rio de Janeiro</v>
      </c>
      <c r="D434" s="24" t="str">
        <f>IFERROR(__xludf.DUMMYFUNCTION("""COMPUTED_VALUE"""),"Editora UFRJ")</f>
        <v>Editora UFRJ</v>
      </c>
      <c r="E434" s="25">
        <f>IFERROR(__xludf.DUMMYFUNCTION("""COMPUTED_VALUE"""),2015.0)</f>
        <v>2015</v>
      </c>
      <c r="F434" s="24" t="str">
        <f>IFERROR(__xludf.DUMMYFUNCTION("""COMPUTED_VALUE"""),"Extensão universitária; Desenvolvimento social; Políticas públicas")</f>
        <v>Extensão universitária; Desenvolvimento social; Políticas públicas</v>
      </c>
      <c r="G434" s="28" t="str">
        <f>IFERROR(__xludf.DUMMYFUNCTION("""COMPUTED_VALUE"""),"9788571083899")</f>
        <v>9788571083899</v>
      </c>
      <c r="H434" s="29" t="str">
        <f>IFERROR(__xludf.DUMMYFUNCTION("""COMPUTED_VALUE"""),"http://www.editora.ufrj.br/DynamicItems/livrosabertos-1/soltec2_extensao_e_politicas_publicas.pdf")</f>
        <v>http://www.editora.ufrj.br/DynamicItems/livrosabertos-1/soltec2_extensao_e_politicas_publicas.pdf</v>
      </c>
      <c r="I434" s="24" t="str">
        <f>IFERROR(__xludf.DUMMYFUNCTION("""COMPUTED_VALUE"""),"Ciências Humanas")</f>
        <v>Ciências Humanas</v>
      </c>
    </row>
    <row r="435">
      <c r="A435" s="24" t="str">
        <f>IFERROR(__xludf.DUMMYFUNCTION("""COMPUTED_VALUE"""),"Extensão universitária e formação cidadã")</f>
        <v>Extensão universitária e formação cidadã</v>
      </c>
      <c r="B435" s="24" t="str">
        <f>IFERROR(__xludf.DUMMYFUNCTION("""COMPUTED_VALUE"""),"Geovânia da Silva Toscano")</f>
        <v>Geovânia da Silva Toscano</v>
      </c>
      <c r="C435" s="24" t="str">
        <f>IFERROR(__xludf.DUMMYFUNCTION("""COMPUTED_VALUE"""),"João Pessoa")</f>
        <v>João Pessoa</v>
      </c>
      <c r="D435" s="24" t="str">
        <f>IFERROR(__xludf.DUMMYFUNCTION("""COMPUTED_VALUE"""),"Editora da UFPB")</f>
        <v>Editora da UFPB</v>
      </c>
      <c r="E435" s="25">
        <f>IFERROR(__xludf.DUMMYFUNCTION("""COMPUTED_VALUE"""),2015.0)</f>
        <v>2015</v>
      </c>
      <c r="F435" s="24" t="str">
        <f>IFERROR(__xludf.DUMMYFUNCTION("""COMPUTED_VALUE"""),"Educação para cidadania; Formação cidadã; Extensão universitária")</f>
        <v>Educação para cidadania; Formação cidadã; Extensão universitária</v>
      </c>
      <c r="G435" s="28" t="str">
        <f>IFERROR(__xludf.DUMMYFUNCTION("""COMPUTED_VALUE"""),"9788523711405")</f>
        <v>9788523711405</v>
      </c>
      <c r="H435" s="29" t="str">
        <f>IFERROR(__xludf.DUMMYFUNCTION("""COMPUTED_VALUE"""),"http://www.editora.ufpb.br/sistema/press5/index.php/UFPB/catalog/book/552")</f>
        <v>http://www.editora.ufpb.br/sistema/press5/index.php/UFPB/catalog/book/552</v>
      </c>
      <c r="I435" s="24" t="str">
        <f>IFERROR(__xludf.DUMMYFUNCTION("""COMPUTED_VALUE"""),"Ciências Humanas")</f>
        <v>Ciências Humanas</v>
      </c>
    </row>
    <row r="436">
      <c r="A436" s="24" t="str">
        <f>IFERROR(__xludf.DUMMYFUNCTION("""COMPUTED_VALUE"""),"Extensão universitária: reflexões acadêmicas*")</f>
        <v>Extensão universitária: reflexões acadêmicas*</v>
      </c>
      <c r="B436" s="24" t="str">
        <f>IFERROR(__xludf.DUMMYFUNCTION("""COMPUTED_VALUE"""),"Maria Lucia Maroco Maraschin; César da Silva Camargo")</f>
        <v>Maria Lucia Maroco Maraschin; César da Silva Camargo</v>
      </c>
      <c r="C436" s="24" t="str">
        <f>IFERROR(__xludf.DUMMYFUNCTION("""COMPUTED_VALUE"""),"Chapecó")</f>
        <v>Chapecó</v>
      </c>
      <c r="D436" s="24" t="str">
        <f>IFERROR(__xludf.DUMMYFUNCTION("""COMPUTED_VALUE"""),"Argos")</f>
        <v>Argos</v>
      </c>
      <c r="E436" s="25">
        <f>IFERROR(__xludf.DUMMYFUNCTION("""COMPUTED_VALUE"""),2015.0)</f>
        <v>2015</v>
      </c>
      <c r="F436" s="24" t="str">
        <f>IFERROR(__xludf.DUMMYFUNCTION("""COMPUTED_VALUE"""),"Ensino Superior - Extensão; Ensino Superior - Chapecó")</f>
        <v>Ensino Superior - Extensão; Ensino Superior - Chapecó</v>
      </c>
      <c r="G436" s="28" t="str">
        <f>IFERROR(__xludf.DUMMYFUNCTION("""COMPUTED_VALUE"""),"9788578971526")</f>
        <v>9788578971526</v>
      </c>
      <c r="H436" s="29" t="str">
        <f>IFERROR(__xludf.DUMMYFUNCTION("""COMPUTED_VALUE"""),"https://www.editoraargos.com.br/farol/editoraargos/ebook/extensao-universitaria-reflexoes-academicas/33251/")</f>
        <v>https://www.editoraargos.com.br/farol/editoraargos/ebook/extensao-universitaria-reflexoes-academicas/33251/</v>
      </c>
      <c r="I436" s="24" t="str">
        <f>IFERROR(__xludf.DUMMYFUNCTION("""COMPUTED_VALUE"""),"Ciências Humanas")</f>
        <v>Ciências Humanas</v>
      </c>
    </row>
    <row r="437">
      <c r="A437" s="24" t="str">
        <f>IFERROR(__xludf.DUMMYFUNCTION("""COMPUTED_VALUE"""),"Faces da Fronteira: desafios e perspectivas de regiões lindeiras")</f>
        <v>Faces da Fronteira: desafios e perspectivas de regiões lindeiras</v>
      </c>
      <c r="B437" s="24" t="str">
        <f>IFERROR(__xludf.DUMMYFUNCTION("""COMPUTED_VALUE"""),"Iuri Cavlak, Jadson Luís Rebelo Porto, Andrius Estevam Noronha (org.) ")</f>
        <v>Iuri Cavlak, Jadson Luís Rebelo Porto, Andrius Estevam Noronha (org.) </v>
      </c>
      <c r="C437" s="24" t="str">
        <f>IFERROR(__xludf.DUMMYFUNCTION("""COMPUTED_VALUE"""),"Macapá")</f>
        <v>Macapá</v>
      </c>
      <c r="D437" s="24" t="str">
        <f>IFERROR(__xludf.DUMMYFUNCTION("""COMPUTED_VALUE"""),"UNIFAP")</f>
        <v>UNIFAP</v>
      </c>
      <c r="E437" s="25">
        <f>IFERROR(__xludf.DUMMYFUNCTION("""COMPUTED_VALUE"""),2017.0)</f>
        <v>2017</v>
      </c>
      <c r="F437" s="24" t="str">
        <f>IFERROR(__xludf.DUMMYFUNCTION("""COMPUTED_VALUE"""),"Fronteria; América do Sul")</f>
        <v>Fronteria; América do Sul</v>
      </c>
      <c r="G437" s="28" t="str">
        <f>IFERROR(__xludf.DUMMYFUNCTION("""COMPUTED_VALUE"""),"9788554760045")</f>
        <v>9788554760045</v>
      </c>
      <c r="H437" s="29" t="str">
        <f>IFERROR(__xludf.DUMMYFUNCTION("""COMPUTED_VALUE"""),"https://www2.unifap.br/editora/files/2014/12/Faces-da-Fronteira-Volume-II.pdf")</f>
        <v>https://www2.unifap.br/editora/files/2014/12/Faces-da-Fronteira-Volume-II.pdf</v>
      </c>
      <c r="I437" s="24" t="str">
        <f>IFERROR(__xludf.DUMMYFUNCTION("""COMPUTED_VALUE"""),"Ciências Humanas")</f>
        <v>Ciências Humanas</v>
      </c>
    </row>
    <row r="438">
      <c r="A438" s="24" t="str">
        <f>IFERROR(__xludf.DUMMYFUNCTION("""COMPUTED_VALUE"""),"Faces da fronteira: entre histórias e espaços, encontros e desencontro ")</f>
        <v>Faces da fronteira: entre histórias e espaços, encontros e desencontro </v>
      </c>
      <c r="B438" s="24" t="str">
        <f>IFERROR(__xludf.DUMMYFUNCTION("""COMPUTED_VALUE"""),"Jadson Luís Rebelo Porto; Iuri Cavlak; Andrius Estevam Noronha")</f>
        <v>Jadson Luís Rebelo Porto; Iuri Cavlak; Andrius Estevam Noronha</v>
      </c>
      <c r="C438" s="24" t="str">
        <f>IFERROR(__xludf.DUMMYFUNCTION("""COMPUTED_VALUE"""),"Macapá")</f>
        <v>Macapá</v>
      </c>
      <c r="D438" s="24" t="str">
        <f>IFERROR(__xludf.DUMMYFUNCTION("""COMPUTED_VALUE"""),"UNIFAP")</f>
        <v>UNIFAP</v>
      </c>
      <c r="E438" s="25">
        <f>IFERROR(__xludf.DUMMYFUNCTION("""COMPUTED_VALUE"""),2018.0)</f>
        <v>2018</v>
      </c>
      <c r="F438" s="24" t="str">
        <f>IFERROR(__xludf.DUMMYFUNCTION("""COMPUTED_VALUE"""),"Fronteira; Fronteira")</f>
        <v>Fronteira; Fronteira</v>
      </c>
      <c r="G438" s="28" t="str">
        <f>IFERROR(__xludf.DUMMYFUNCTION("""COMPUTED_VALUE"""),"9788554760403")</f>
        <v>9788554760403</v>
      </c>
      <c r="H438" s="29" t="str">
        <f>IFERROR(__xludf.DUMMYFUNCTION("""COMPUTED_VALUE"""),"https://www2.unifap.br/editora/files/2018/10/Faces-da-fronteira-entre-hist%c3%b3rias-e-espa%c3%a7os-encontros-e-desencontros.pdf")</f>
        <v>https://www2.unifap.br/editora/files/2018/10/Faces-da-fronteira-entre-hist%c3%b3rias-e-espa%c3%a7os-encontros-e-desencontros.pdf</v>
      </c>
      <c r="I438" s="24" t="str">
        <f>IFERROR(__xludf.DUMMYFUNCTION("""COMPUTED_VALUE"""),"Ciências Humanas")</f>
        <v>Ciências Humanas</v>
      </c>
    </row>
    <row r="439">
      <c r="A439" s="24" t="str">
        <f>IFERROR(__xludf.DUMMYFUNCTION("""COMPUTED_VALUE"""),"Faces do trabalho: escravizados e livres.")</f>
        <v>Faces do trabalho: escravizados e livres.</v>
      </c>
      <c r="B439" s="24" t="str">
        <f>IFERROR(__xludf.DUMMYFUNCTION("""COMPUTED_VALUE"""),"Marcela Goldmacher, Marcelo Badaró Mattos, Paulo Cruz Terra (org.)")</f>
        <v>Marcela Goldmacher, Marcelo Badaró Mattos, Paulo Cruz Terra (org.)</v>
      </c>
      <c r="C439" s="24" t="str">
        <f>IFERROR(__xludf.DUMMYFUNCTION("""COMPUTED_VALUE"""),"Niterói, RJ")</f>
        <v>Niterói, RJ</v>
      </c>
      <c r="D439" s="24" t="str">
        <f>IFERROR(__xludf.DUMMYFUNCTION("""COMPUTED_VALUE"""),"EDUFF")</f>
        <v>EDUFF</v>
      </c>
      <c r="E439" s="25">
        <f>IFERROR(__xludf.DUMMYFUNCTION("""COMPUTED_VALUE"""),2010.0)</f>
        <v>2010</v>
      </c>
      <c r="F439" s="24" t="str">
        <f>IFERROR(__xludf.DUMMYFUNCTION("""COMPUTED_VALUE"""),"História; Escravidão")</f>
        <v>História; Escravidão</v>
      </c>
      <c r="G439" s="28" t="str">
        <f>IFERROR(__xludf.DUMMYFUNCTION("""COMPUTED_VALUE"""),"9788522805402")</f>
        <v>9788522805402</v>
      </c>
      <c r="H439" s="29" t="str">
        <f>IFERROR(__xludf.DUMMYFUNCTION("""COMPUTED_VALUE"""),"http://bit.ly/Faces-do-trabalho")</f>
        <v>http://bit.ly/Faces-do-trabalho</v>
      </c>
      <c r="I439" s="24" t="str">
        <f>IFERROR(__xludf.DUMMYFUNCTION("""COMPUTED_VALUE"""),"Ciências Humanas")</f>
        <v>Ciências Humanas</v>
      </c>
    </row>
    <row r="440">
      <c r="A440" s="24" t="str">
        <f>IFERROR(__xludf.DUMMYFUNCTION("""COMPUTED_VALUE"""),"Família e casal: efeitos da contemporaneidade")</f>
        <v>Família e casal: efeitos da contemporaneidade</v>
      </c>
      <c r="B440" s="24" t="str">
        <f>IFERROR(__xludf.DUMMYFUNCTION("""COMPUTED_VALUE"""),"Terezinha Féres-Carneiro; Organizadora")</f>
        <v>Terezinha Féres-Carneiro; Organizadora</v>
      </c>
      <c r="C440" s="24" t="str">
        <f>IFERROR(__xludf.DUMMYFUNCTION("""COMPUTED_VALUE"""),"Rio de Janeiro")</f>
        <v>Rio de Janeiro</v>
      </c>
      <c r="D440" s="24" t="str">
        <f>IFERROR(__xludf.DUMMYFUNCTION("""COMPUTED_VALUE"""),"Editora PUC Rio")</f>
        <v>Editora PUC Rio</v>
      </c>
      <c r="E440" s="25">
        <f>IFERROR(__xludf.DUMMYFUNCTION("""COMPUTED_VALUE"""),2005.0)</f>
        <v>2005</v>
      </c>
      <c r="F440" s="24" t="str">
        <f>IFERROR(__xludf.DUMMYFUNCTION("""COMPUTED_VALUE"""),"Família. Família – Aspectos psicológicos. Casamento. Casamento – Aspectos psicológicos")</f>
        <v>Família. Família – Aspectos psicológicos. Casamento. Casamento – Aspectos psicológicos</v>
      </c>
      <c r="G440" s="28" t="str">
        <f>IFERROR(__xludf.DUMMYFUNCTION("""COMPUTED_VALUE"""),"9788587926746")</f>
        <v>9788587926746</v>
      </c>
      <c r="H440" s="29" t="str">
        <f>IFERROR(__xludf.DUMMYFUNCTION("""COMPUTED_VALUE"""),"http://www.editora.puc-rio.br/media/ebook_familia_e_casal.pdf")</f>
        <v>http://www.editora.puc-rio.br/media/ebook_familia_e_casal.pdf</v>
      </c>
      <c r="I440" s="24" t="str">
        <f>IFERROR(__xludf.DUMMYFUNCTION("""COMPUTED_VALUE"""),"Ciências Humanas")</f>
        <v>Ciências Humanas</v>
      </c>
    </row>
    <row r="441">
      <c r="A441" s="24" t="str">
        <f>IFERROR(__xludf.DUMMYFUNCTION("""COMPUTED_VALUE"""),"Família, poder e mito: o município de S. Jorge de Ilhéus (1880- 1912)")</f>
        <v>Família, poder e mito: o município de S. Jorge de Ilhéus (1880- 1912)</v>
      </c>
      <c r="B441" s="24" t="str">
        <f>IFERROR(__xludf.DUMMYFUNCTION("""COMPUTED_VALUE"""),"André Rosa")</f>
        <v>André Rosa</v>
      </c>
      <c r="C441" s="24" t="str">
        <f>IFERROR(__xludf.DUMMYFUNCTION("""COMPUTED_VALUE"""),"Ilhéus, BA")</f>
        <v>Ilhéus, BA</v>
      </c>
      <c r="D441" s="24" t="str">
        <f>IFERROR(__xludf.DUMMYFUNCTION("""COMPUTED_VALUE"""),"Editus")</f>
        <v>Editus</v>
      </c>
      <c r="E441" s="25">
        <f>IFERROR(__xludf.DUMMYFUNCTION("""COMPUTED_VALUE"""),2001.0)</f>
        <v>2001</v>
      </c>
      <c r="F441" s="24" t="str">
        <f>IFERROR(__xludf.DUMMYFUNCTION("""COMPUTED_VALUE"""),"Família - Ilhéus (Ba) - História-1880-1912;Ilhéus (Ba) - Bahia; - História")</f>
        <v>Família - Ilhéus (Ba) - História-1880-1912;Ilhéus (Ba) - Bahia; - História</v>
      </c>
      <c r="G441" s="28" t="str">
        <f>IFERROR(__xludf.DUMMYFUNCTION("""COMPUTED_VALUE"""),"8574550426")</f>
        <v>8574550426</v>
      </c>
      <c r="H441" s="29" t="str">
        <f>IFERROR(__xludf.DUMMYFUNCTION("""COMPUTED_VALUE"""),"http://www.uesc.br/editora/livrosdigitais/familia-poder-mito.pdf")</f>
        <v>http://www.uesc.br/editora/livrosdigitais/familia-poder-mito.pdf</v>
      </c>
      <c r="I441" s="24" t="str">
        <f>IFERROR(__xludf.DUMMYFUNCTION("""COMPUTED_VALUE"""),"Ciências Humanas")</f>
        <v>Ciências Humanas</v>
      </c>
    </row>
    <row r="442">
      <c r="A442" s="24" t="str">
        <f>IFERROR(__xludf.DUMMYFUNCTION("""COMPUTED_VALUE"""),"Favelados e pobaldores nas ciências sociais: a construção teórica de um movimento social ")</f>
        <v>Favelados e pobaldores nas ciências sociais: a construção teórica de um movimento social </v>
      </c>
      <c r="B442" s="24" t="str">
        <f>IFERROR(__xludf.DUMMYFUNCTION("""COMPUTED_VALUE"""),"Alexis Cortés")</f>
        <v>Alexis Cortés</v>
      </c>
      <c r="C442" s="24" t="str">
        <f>IFERROR(__xludf.DUMMYFUNCTION("""COMPUTED_VALUE"""),"Rio de Janeiro, RJ")</f>
        <v>Rio de Janeiro, RJ</v>
      </c>
      <c r="D442" s="24" t="str">
        <f>IFERROR(__xludf.DUMMYFUNCTION("""COMPUTED_VALUE"""),"EdUERJ")</f>
        <v>EdUERJ</v>
      </c>
      <c r="E442" s="25">
        <f>IFERROR(__xludf.DUMMYFUNCTION("""COMPUTED_VALUE"""),2018.0)</f>
        <v>2018</v>
      </c>
      <c r="F442" s="24" t="str">
        <f>IFERROR(__xludf.DUMMYFUNCTION("""COMPUTED_VALUE"""),"Sociologia; Movimentos Sociais")</f>
        <v>Sociologia; Movimentos Sociais</v>
      </c>
      <c r="G442" s="28" t="str">
        <f>IFERROR(__xludf.DUMMYFUNCTION("""COMPUTED_VALUE"""),"9788575114780")</f>
        <v>9788575114780</v>
      </c>
      <c r="H442" s="29" t="str">
        <f>IFERROR(__xludf.DUMMYFUNCTION("""COMPUTED_VALUE"""),"http://books.scielo.org/id/rrtr9/pdf/cortes-9788575114773.pdf")</f>
        <v>http://books.scielo.org/id/rrtr9/pdf/cortes-9788575114773.pdf</v>
      </c>
      <c r="I442" s="24" t="str">
        <f>IFERROR(__xludf.DUMMYFUNCTION("""COMPUTED_VALUE"""),"Ciências Humanas")</f>
        <v>Ciências Humanas</v>
      </c>
    </row>
    <row r="443">
      <c r="A443" s="24" t="str">
        <f>IFERROR(__xludf.DUMMYFUNCTION("""COMPUTED_VALUE"""),"Favelados e pobladores nas ciências sociais: a construção teórica de um movimento social")</f>
        <v>Favelados e pobladores nas ciências sociais: a construção teórica de um movimento social</v>
      </c>
      <c r="B443" s="24" t="str">
        <f>IFERROR(__xludf.DUMMYFUNCTION("""COMPUTED_VALUE"""),"Alexis Cortés")</f>
        <v>Alexis Cortés</v>
      </c>
      <c r="C443" s="24" t="str">
        <f>IFERROR(__xludf.DUMMYFUNCTION("""COMPUTED_VALUE"""),"Rio de Janeiro")</f>
        <v>Rio de Janeiro</v>
      </c>
      <c r="D443" s="24" t="str">
        <f>IFERROR(__xludf.DUMMYFUNCTION("""COMPUTED_VALUE"""),"EdUERJ")</f>
        <v>EdUERJ</v>
      </c>
      <c r="E443" s="25">
        <f>IFERROR(__xludf.DUMMYFUNCTION("""COMPUTED_VALUE"""),2018.0)</f>
        <v>2018</v>
      </c>
      <c r="F443" s="24" t="str">
        <f>IFERROR(__xludf.DUMMYFUNCTION("""COMPUTED_VALUE"""),"Sociologia; Movimentos Sociais; Favelas")</f>
        <v>Sociologia; Movimentos Sociais; Favelas</v>
      </c>
      <c r="G443" s="28" t="str">
        <f>IFERROR(__xludf.DUMMYFUNCTION("""COMPUTED_VALUE"""),"9788575114780")</f>
        <v>9788575114780</v>
      </c>
      <c r="H443" s="29" t="str">
        <f>IFERROR(__xludf.DUMMYFUNCTION("""COMPUTED_VALUE"""),"https://www.eduerj.com/eng/?product=favelados-e-pobladores-nas-ciencias-sociais-a-construcao-teorica-de-um-movimento-social-ebook")</f>
        <v>https://www.eduerj.com/eng/?product=favelados-e-pobladores-nas-ciencias-sociais-a-construcao-teorica-de-um-movimento-social-ebook</v>
      </c>
      <c r="I443" s="24" t="str">
        <f>IFERROR(__xludf.DUMMYFUNCTION("""COMPUTED_VALUE"""),"Ciências Humanas")</f>
        <v>Ciências Humanas</v>
      </c>
    </row>
    <row r="444">
      <c r="A444" s="24" t="str">
        <f>IFERROR(__xludf.DUMMYFUNCTION("""COMPUTED_VALUE"""),"Fazer-se no ""Estado"": uma etnografia sobre o processo de constituição dos ""LGBT"" como sujeitos de direitos no Brasil contemporâneo")</f>
        <v>Fazer-se no "Estado": uma etnografia sobre o processo de constituição dos "LGBT" como sujeitos de direitos no Brasil contemporâneo</v>
      </c>
      <c r="B444" s="24" t="str">
        <f>IFERROR(__xludf.DUMMYFUNCTION("""COMPUTED_VALUE"""),"Silvia Aguião")</f>
        <v>Silvia Aguião</v>
      </c>
      <c r="C444" s="24" t="str">
        <f>IFERROR(__xludf.DUMMYFUNCTION("""COMPUTED_VALUE"""),"Rio de Janeiro, RJ")</f>
        <v>Rio de Janeiro, RJ</v>
      </c>
      <c r="D444" s="24" t="str">
        <f>IFERROR(__xludf.DUMMYFUNCTION("""COMPUTED_VALUE"""),"EdUERJ")</f>
        <v>EdUERJ</v>
      </c>
      <c r="E444" s="25">
        <f>IFERROR(__xludf.DUMMYFUNCTION("""COMPUTED_VALUE"""),2018.0)</f>
        <v>2018</v>
      </c>
      <c r="F444" s="24" t="str">
        <f>IFERROR(__xludf.DUMMYFUNCTION("""COMPUTED_VALUE"""),"Homossexualidade; Direitos sexuais; Direitos humanos")</f>
        <v>Homossexualidade; Direitos sexuais; Direitos humanos</v>
      </c>
      <c r="G444" s="28" t="str">
        <f>IFERROR(__xludf.DUMMYFUNCTION("""COMPUTED_VALUE"""),"9788575114896")</f>
        <v>9788575114896</v>
      </c>
      <c r="H444" s="29" t="str">
        <f>IFERROR(__xludf.DUMMYFUNCTION("""COMPUTED_VALUE"""),"http://books.scielo.org/id/k8vc4/pdf/aguiao-9788575115152.pdf")</f>
        <v>http://books.scielo.org/id/k8vc4/pdf/aguiao-9788575115152.pdf</v>
      </c>
      <c r="I444" s="24" t="str">
        <f>IFERROR(__xludf.DUMMYFUNCTION("""COMPUTED_VALUE"""),"Ciências Humanas")</f>
        <v>Ciências Humanas</v>
      </c>
    </row>
    <row r="445">
      <c r="A445" s="24" t="str">
        <f>IFERROR(__xludf.DUMMYFUNCTION("""COMPUTED_VALUE"""),"Fé e resistência: religiões de matrizes africana e afro-brasileira em Boa Vista/RR ")</f>
        <v>Fé e resistência: religiões de matrizes africana e afro-brasileira em Boa Vista/RR </v>
      </c>
      <c r="B445" s="24" t="str">
        <f>IFERROR(__xludf.DUMMYFUNCTION("""COMPUTED_VALUE"""),"Monalisa Pavonne Oliveira")</f>
        <v>Monalisa Pavonne Oliveira</v>
      </c>
      <c r="C445" s="24" t="str">
        <f>IFERROR(__xludf.DUMMYFUNCTION("""COMPUTED_VALUE"""),"Boa Vista ")</f>
        <v>Boa Vista </v>
      </c>
      <c r="D445" s="24" t="str">
        <f>IFERROR(__xludf.DUMMYFUNCTION("""COMPUTED_VALUE"""),"UFRR")</f>
        <v>UFRR</v>
      </c>
      <c r="E445" s="25">
        <f>IFERROR(__xludf.DUMMYFUNCTION("""COMPUTED_VALUE"""),2020.0)</f>
        <v>2020</v>
      </c>
      <c r="F445" s="24" t="str">
        <f>IFERROR(__xludf.DUMMYFUNCTION("""COMPUTED_VALUE"""),"Religião; Matriz afrorreligiosa; Fé; Resistência; Comunidades de matriz africana em Boa Vista")</f>
        <v>Religião; Matriz afrorreligiosa; Fé; Resistência; Comunidades de matriz africana em Boa Vista</v>
      </c>
      <c r="G445" s="28" t="str">
        <f>IFERROR(__xludf.DUMMYFUNCTION("""COMPUTED_VALUE"""),"9788582882269")</f>
        <v>9788582882269</v>
      </c>
      <c r="H445" s="29" t="str">
        <f>IFERROR(__xludf.DUMMYFUNCTION("""COMPUTED_VALUE"""),"http://ufrr.br/editora/index.php/editais?download=428")</f>
        <v>http://ufrr.br/editora/index.php/editais?download=428</v>
      </c>
      <c r="I445" s="24" t="str">
        <f>IFERROR(__xludf.DUMMYFUNCTION("""COMPUTED_VALUE"""),"Ciências Humanas")</f>
        <v>Ciências Humanas</v>
      </c>
    </row>
    <row r="446">
      <c r="A446" s="24" t="str">
        <f>IFERROR(__xludf.DUMMYFUNCTION("""COMPUTED_VALUE"""),"Filosofia")</f>
        <v>Filosofia</v>
      </c>
      <c r="B446" s="24" t="str">
        <f>IFERROR(__xludf.DUMMYFUNCTION("""COMPUTED_VALUE"""),"Marisa Carneiro de Oliveira Franco Donatelli; organizadora. ")</f>
        <v>Marisa Carneiro de Oliveira Franco Donatelli; organizadora. </v>
      </c>
      <c r="C446" s="24" t="str">
        <f>IFERROR(__xludf.DUMMYFUNCTION("""COMPUTED_VALUE"""),"Ilhéus, BA")</f>
        <v>Ilhéus, BA</v>
      </c>
      <c r="D446" s="24" t="str">
        <f>IFERROR(__xludf.DUMMYFUNCTION("""COMPUTED_VALUE"""),"Editus")</f>
        <v>Editus</v>
      </c>
      <c r="E446" s="25">
        <f>IFERROR(__xludf.DUMMYFUNCTION("""COMPUTED_VALUE"""),2012.0)</f>
        <v>2012</v>
      </c>
      <c r="F446" s="24" t="str">
        <f>IFERROR(__xludf.DUMMYFUNCTION("""COMPUTED_VALUE"""),"Filosofia")</f>
        <v>Filosofia</v>
      </c>
      <c r="G446" s="28" t="str">
        <f>IFERROR(__xludf.DUMMYFUNCTION("""COMPUTED_VALUE"""),"9788574552811")</f>
        <v>9788574552811</v>
      </c>
      <c r="H446" s="29" t="str">
        <f>IFERROR(__xludf.DUMMYFUNCTION("""COMPUTED_VALUE"""),"http://www.uesc.br/editora/livrosdigitais2015/caderno_aula_11_filosofia.pdf")</f>
        <v>http://www.uesc.br/editora/livrosdigitais2015/caderno_aula_11_filosofia.pdf</v>
      </c>
      <c r="I446" s="24" t="str">
        <f>IFERROR(__xludf.DUMMYFUNCTION("""COMPUTED_VALUE"""),"Ciências Humanas")</f>
        <v>Ciências Humanas</v>
      </c>
    </row>
    <row r="447">
      <c r="A447" s="24" t="str">
        <f>IFERROR(__xludf.DUMMYFUNCTION("""COMPUTED_VALUE"""),"Filosofia da tecnologia: um convite")</f>
        <v>Filosofia da tecnologia: um convite</v>
      </c>
      <c r="B447" s="24" t="str">
        <f>IFERROR(__xludf.DUMMYFUNCTION("""COMPUTED_VALUE"""),"Cupani, Alberto")</f>
        <v>Cupani, Alberto</v>
      </c>
      <c r="C447" s="24" t="str">
        <f>IFERROR(__xludf.DUMMYFUNCTION("""COMPUTED_VALUE"""),"Florianópolis")</f>
        <v>Florianópolis</v>
      </c>
      <c r="D447" s="24" t="str">
        <f>IFERROR(__xludf.DUMMYFUNCTION("""COMPUTED_VALUE"""),"Editora da UFSC")</f>
        <v>Editora da UFSC</v>
      </c>
      <c r="E447" s="25">
        <f>IFERROR(__xludf.DUMMYFUNCTION("""COMPUTED_VALUE"""),2016.0)</f>
        <v>2016</v>
      </c>
      <c r="F447" s="24" t="str">
        <f>IFERROR(__xludf.DUMMYFUNCTION("""COMPUTED_VALUE"""),"Filosofia;Tecnologia")</f>
        <v>Filosofia;Tecnologia</v>
      </c>
      <c r="G447" s="28" t="str">
        <f>IFERROR(__xludf.DUMMYFUNCTION("""COMPUTED_VALUE"""),"9788532807915")</f>
        <v>9788532807915</v>
      </c>
      <c r="H447" s="29" t="str">
        <f>IFERROR(__xludf.DUMMYFUNCTION("""COMPUTED_VALUE"""),"https://repositorio.ufsc.br/handle/123456789/187613")</f>
        <v>https://repositorio.ufsc.br/handle/123456789/187613</v>
      </c>
      <c r="I447" s="24" t="str">
        <f>IFERROR(__xludf.DUMMYFUNCTION("""COMPUTED_VALUE"""),"Ciências Humanas")</f>
        <v>Ciências Humanas</v>
      </c>
    </row>
    <row r="448">
      <c r="A448" s="24" t="str">
        <f>IFERROR(__xludf.DUMMYFUNCTION("""COMPUTED_VALUE"""),"Filosofia(s) sobre múltiplos olhares: filosofia(s) para tempos presentes")</f>
        <v>Filosofia(s) sobre múltiplos olhares: filosofia(s) para tempos presentes</v>
      </c>
      <c r="B448" s="24" t="str">
        <f>IFERROR(__xludf.DUMMYFUNCTION("""COMPUTED_VALUE"""),"Azeredo, Jéferson Luís de; Decothé Jr., Joel; Costa, William")</f>
        <v>Azeredo, Jéferson Luís de; Decothé Jr., Joel; Costa, William</v>
      </c>
      <c r="C448" s="24" t="str">
        <f>IFERROR(__xludf.DUMMYFUNCTION("""COMPUTED_VALUE"""),"Criciúma")</f>
        <v>Criciúma</v>
      </c>
      <c r="D448" s="24" t="str">
        <f>IFERROR(__xludf.DUMMYFUNCTION("""COMPUTED_VALUE"""),"UNESC")</f>
        <v>UNESC</v>
      </c>
      <c r="E448" s="25">
        <f>IFERROR(__xludf.DUMMYFUNCTION("""COMPUTED_VALUE"""),2019.0)</f>
        <v>2019</v>
      </c>
      <c r="F448" s="24" t="str">
        <f>IFERROR(__xludf.DUMMYFUNCTION("""COMPUTED_VALUE"""),"Filosofia; Filosofia alemã; Filosofia italiana; Filosofia canadense; Filosofia africana; Kant, Immanuel, 1724-1804; Esposito, Roberto, 1950-; Habermas, Jürgen, 1929-; Taylor, Charles, 1931-; Ngoenha, Severino, 1962-; Heidegger, Martin, 1889-1976")</f>
        <v>Filosofia; Filosofia alemã; Filosofia italiana; Filosofia canadense; Filosofia africana; Kant, Immanuel, 1724-1804; Esposito, Roberto, 1950-; Habermas, Jürgen, 1929-; Taylor, Charles, 1931-; Ngoenha, Severino, 1962-; Heidegger, Martin, 1889-1976</v>
      </c>
      <c r="G448" s="28" t="str">
        <f>IFERROR(__xludf.DUMMYFUNCTION("""COMPUTED_VALUE"""),"9788584101207")</f>
        <v>9788584101207</v>
      </c>
      <c r="H448" s="29" t="str">
        <f>IFERROR(__xludf.DUMMYFUNCTION("""COMPUTED_VALUE"""),"http://dx.doi.org/10.18616/filo")</f>
        <v>http://dx.doi.org/10.18616/filo</v>
      </c>
      <c r="I448" s="24" t="str">
        <f>IFERROR(__xludf.DUMMYFUNCTION("""COMPUTED_VALUE"""),"Ciências Humanas")</f>
        <v>Ciências Humanas</v>
      </c>
    </row>
    <row r="449">
      <c r="A449" s="24" t="str">
        <f>IFERROR(__xludf.DUMMYFUNCTION("""COMPUTED_VALUE"""),"Fluxos contemporâneos: capital humano e acadêmico-cultural reconfi gurando a região do cacau ")</f>
        <v>Fluxos contemporâneos: capital humano e acadêmico-cultural reconfi gurando a região do cacau </v>
      </c>
      <c r="B449" s="24" t="str">
        <f>IFERROR(__xludf.DUMMYFUNCTION("""COMPUTED_VALUE"""),"Maria Luiza Silva Santos")</f>
        <v>Maria Luiza Silva Santos</v>
      </c>
      <c r="C449" s="24" t="str">
        <f>IFERROR(__xludf.DUMMYFUNCTION("""COMPUTED_VALUE"""),"Ilhéus, BA")</f>
        <v>Ilhéus, BA</v>
      </c>
      <c r="D449" s="24" t="str">
        <f>IFERROR(__xludf.DUMMYFUNCTION("""COMPUTED_VALUE"""),"Editus")</f>
        <v>Editus</v>
      </c>
      <c r="E449" s="25">
        <f>IFERROR(__xludf.DUMMYFUNCTION("""COMPUTED_VALUE"""),2014.0)</f>
        <v>2014</v>
      </c>
      <c r="F449" s="24" t="str">
        <f>IFERROR(__xludf.DUMMYFUNCTION("""COMPUTED_VALUE"""),"Migração – Bahia; Identidade Social; Desenvolvimento regional – Bahia; Cultura regional")</f>
        <v>Migração – Bahia; Identidade Social; Desenvolvimento regional – Bahia; Cultura regional</v>
      </c>
      <c r="G449" s="28" t="str">
        <f>IFERROR(__xludf.DUMMYFUNCTION("""COMPUTED_VALUE"""),"9788574553603")</f>
        <v>9788574553603</v>
      </c>
      <c r="H449" s="29" t="str">
        <f>IFERROR(__xludf.DUMMYFUNCTION("""COMPUTED_VALUE"""),"http://www.uesc.br/editora/livrosdigitais2015/fluxos_contemporaneos.pdf")</f>
        <v>http://www.uesc.br/editora/livrosdigitais2015/fluxos_contemporaneos.pdf</v>
      </c>
      <c r="I449" s="24" t="str">
        <f>IFERROR(__xludf.DUMMYFUNCTION("""COMPUTED_VALUE"""),"Ciências Humanas")</f>
        <v>Ciências Humanas</v>
      </c>
    </row>
    <row r="450">
      <c r="A450" s="24" t="str">
        <f>IFERROR(__xludf.DUMMYFUNCTION("""COMPUTED_VALUE"""),"Focco na Aprendizagem Cooperativa: a Unemat pratica")</f>
        <v>Focco na Aprendizagem Cooperativa: a Unemat pratica</v>
      </c>
      <c r="B450" s="24" t="str">
        <f>IFERROR(__xludf.DUMMYFUNCTION("""COMPUTED_VALUE"""),"Franciano Antunes; Renata Cristina de L.C.B. Nascimento (org.)")</f>
        <v>Franciano Antunes; Renata Cristina de L.C.B. Nascimento (org.)</v>
      </c>
      <c r="C450" s="24" t="str">
        <f>IFERROR(__xludf.DUMMYFUNCTION("""COMPUTED_VALUE"""),"Cáceres")</f>
        <v>Cáceres</v>
      </c>
      <c r="D450" s="24" t="str">
        <f>IFERROR(__xludf.DUMMYFUNCTION("""COMPUTED_VALUE"""),"UNEMAT")</f>
        <v>UNEMAT</v>
      </c>
      <c r="E450" s="25">
        <f>IFERROR(__xludf.DUMMYFUNCTION("""COMPUTED_VALUE"""),2019.0)</f>
        <v>2019</v>
      </c>
      <c r="F450" s="24" t="str">
        <f>IFERROR(__xludf.DUMMYFUNCTION("""COMPUTED_VALUE"""),"Universidade do Estado de Mato Groso; Aprendizagem Cooperativa; Ensino Superior")</f>
        <v>Universidade do Estado de Mato Groso; Aprendizagem Cooperativa; Ensino Superior</v>
      </c>
      <c r="G450" s="28" t="str">
        <f>IFERROR(__xludf.DUMMYFUNCTION("""COMPUTED_VALUE"""),"9788579112010")</f>
        <v>9788579112010</v>
      </c>
      <c r="H450" s="29" t="str">
        <f>IFERROR(__xludf.DUMMYFUNCTION("""COMPUTED_VALUE"""),"http://portal.unemat.br/media/files/Editora/E-book%20-%20Focco.pdf")</f>
        <v>http://portal.unemat.br/media/files/Editora/E-book%20-%20Focco.pdf</v>
      </c>
      <c r="I450" s="24" t="str">
        <f>IFERROR(__xludf.DUMMYFUNCTION("""COMPUTED_VALUE"""),"Ciências Humanas")</f>
        <v>Ciências Humanas</v>
      </c>
    </row>
    <row r="451">
      <c r="A451" s="24" t="str">
        <f>IFERROR(__xludf.DUMMYFUNCTION("""COMPUTED_VALUE"""),"Fontes e métodos em história da educação. ")</f>
        <v>Fontes e métodos em história da educação. </v>
      </c>
      <c r="B451" s="24" t="str">
        <f>IFERROR(__xludf.DUMMYFUNCTION("""COMPUTED_VALUE"""),"(org.) Célio Juvenal Costa, Joaquim José Pereira Melo, Luiz Hermenegildo Fabiano. ")</f>
        <v>(org.) Célio Juvenal Costa, Joaquim José Pereira Melo, Luiz Hermenegildo Fabiano. </v>
      </c>
      <c r="C451" s="24" t="str">
        <f>IFERROR(__xludf.DUMMYFUNCTION("""COMPUTED_VALUE"""),"Dourados, MS")</f>
        <v>Dourados, MS</v>
      </c>
      <c r="D451" s="24" t="str">
        <f>IFERROR(__xludf.DUMMYFUNCTION("""COMPUTED_VALUE"""),"Ed. UFGD")</f>
        <v>Ed. UFGD</v>
      </c>
      <c r="E451" s="25">
        <f>IFERROR(__xludf.DUMMYFUNCTION("""COMPUTED_VALUE"""),2010.0)</f>
        <v>2010</v>
      </c>
      <c r="F451" s="24" t="str">
        <f>IFERROR(__xludf.DUMMYFUNCTION("""COMPUTED_VALUE"""),"Fontes de informações educacionais; Metodologia da Pesquisa; Pesquisa da educação; Recursos bibliográficos; História da educação")</f>
        <v>Fontes de informações educacionais; Metodologia da Pesquisa; Pesquisa da educação; Recursos bibliográficos; História da educação</v>
      </c>
      <c r="G451" s="28" t="str">
        <f>IFERROR(__xludf.DUMMYFUNCTION("""COMPUTED_VALUE"""),"9788561228699")</f>
        <v>9788561228699</v>
      </c>
      <c r="H451" s="29" t="str">
        <f>IFERROR(__xludf.DUMMYFUNCTION("""COMPUTED_VALUE"""),"http://omp.ufgd.edu.br/omp/index.php/livrosabertos/catalog/view/106/235/517-1")</f>
        <v>http://omp.ufgd.edu.br/omp/index.php/livrosabertos/catalog/view/106/235/517-1</v>
      </c>
      <c r="I451" s="24" t="str">
        <f>IFERROR(__xludf.DUMMYFUNCTION("""COMPUTED_VALUE"""),"Ciências Humanas")</f>
        <v>Ciências Humanas</v>
      </c>
    </row>
    <row r="452">
      <c r="A452" s="24" t="str">
        <f>IFERROR(__xludf.DUMMYFUNCTION("""COMPUTED_VALUE"""),"Formação a distância para gestores da educação básica: olhares sobre uma experiência no Rio Grande do Sul")</f>
        <v>Formação a distância para gestores da educação básica: olhares sobre uma experiência no Rio Grande do Sul</v>
      </c>
      <c r="B452" s="24" t="str">
        <f>IFERROR(__xludf.DUMMYFUNCTION("""COMPUTED_VALUE"""),"Silva, Maria Beatriz Gomes da; Flores, Maria Luiza Rodrigues ")</f>
        <v>Silva, Maria Beatriz Gomes da; Flores, Maria Luiza Rodrigues </v>
      </c>
      <c r="C452" s="24" t="str">
        <f>IFERROR(__xludf.DUMMYFUNCTION("""COMPUTED_VALUE"""),"Porto Alegre")</f>
        <v>Porto Alegre</v>
      </c>
      <c r="D452" s="24" t="str">
        <f>IFERROR(__xludf.DUMMYFUNCTION("""COMPUTED_VALUE"""),"UFRGS")</f>
        <v>UFRGS</v>
      </c>
      <c r="E452" s="25">
        <f>IFERROR(__xludf.DUMMYFUNCTION("""COMPUTED_VALUE"""),2018.0)</f>
        <v>2018</v>
      </c>
      <c r="F452" s="24" t="str">
        <f>IFERROR(__xludf.DUMMYFUNCTION("""COMPUTED_VALUE"""),"Direito à educação; Educação básica; Ensino à distância; Ensino público; Gestão da educação; Gestão democrática")</f>
        <v>Direito à educação; Educação básica; Ensino à distância; Ensino público; Gestão da educação; Gestão democrática</v>
      </c>
      <c r="G452" s="28" t="str">
        <f>IFERROR(__xludf.DUMMYFUNCTION("""COMPUTED_VALUE"""),"9788538604259 (pdf) 9788538604266 (epub)")</f>
        <v>9788538604259 (pdf) 9788538604266 (epub)</v>
      </c>
      <c r="H452" s="29" t="str">
        <f>IFERROR(__xludf.DUMMYFUNCTION("""COMPUTED_VALUE"""),"http://hdl.handle.net/10183/189275")</f>
        <v>http://hdl.handle.net/10183/189275</v>
      </c>
      <c r="I452" s="24" t="str">
        <f>IFERROR(__xludf.DUMMYFUNCTION("""COMPUTED_VALUE"""),"Ciências Humanas")</f>
        <v>Ciências Humanas</v>
      </c>
    </row>
    <row r="453">
      <c r="A453" s="24" t="str">
        <f>IFERROR(__xludf.DUMMYFUNCTION("""COMPUTED_VALUE"""),"Formação continuada em educação física no diálogo com a cultura digital")</f>
        <v>Formação continuada em educação física no diálogo com a cultura digital</v>
      </c>
      <c r="B453" s="24" t="str">
        <f>IFERROR(__xludf.DUMMYFUNCTION("""COMPUTED_VALUE"""),"Allyson Carvalho de Araújo; Márcio Romeu Ribas de Oliveira; Antonio Fernandes de Souza Junior (org.)")</f>
        <v>Allyson Carvalho de Araújo; Márcio Romeu Ribas de Oliveira; Antonio Fernandes de Souza Junior (org.)</v>
      </c>
      <c r="C453" s="24" t="str">
        <f>IFERROR(__xludf.DUMMYFUNCTION("""COMPUTED_VALUE"""),"João Pessoa")</f>
        <v>João Pessoa</v>
      </c>
      <c r="D453" s="24" t="str">
        <f>IFERROR(__xludf.DUMMYFUNCTION("""COMPUTED_VALUE"""),"Editora IFPB")</f>
        <v>Editora IFPB</v>
      </c>
      <c r="E453" s="25">
        <f>IFERROR(__xludf.DUMMYFUNCTION("""COMPUTED_VALUE"""),2019.0)</f>
        <v>2019</v>
      </c>
      <c r="F453" s="24" t="str">
        <f>IFERROR(__xludf.DUMMYFUNCTION("""COMPUTED_VALUE"""),"Formação continuada; Educação física; Cibercultura")</f>
        <v>Formação continuada; Educação física; Cibercultura</v>
      </c>
      <c r="G453" s="28" t="str">
        <f>IFERROR(__xludf.DUMMYFUNCTION("""COMPUTED_VALUE"""),"9788554885236")</f>
        <v>9788554885236</v>
      </c>
      <c r="H453" s="29" t="str">
        <f>IFERROR(__xludf.DUMMYFUNCTION("""COMPUTED_VALUE"""),"http://editora.ifpb.edu.br/index.php/ifpb/catalog/book/353")</f>
        <v>http://editora.ifpb.edu.br/index.php/ifpb/catalog/book/353</v>
      </c>
      <c r="I453" s="24" t="str">
        <f>IFERROR(__xludf.DUMMYFUNCTION("""COMPUTED_VALUE"""),"Ciências Humanas")</f>
        <v>Ciências Humanas</v>
      </c>
    </row>
    <row r="454">
      <c r="A454" s="24" t="str">
        <f>IFERROR(__xludf.DUMMYFUNCTION("""COMPUTED_VALUE"""),"Formação de educadores e a construção da escola inclusiva ")</f>
        <v>Formação de educadores e a construção da escola inclusiva </v>
      </c>
      <c r="B454" s="24" t="str">
        <f>IFERROR(__xludf.DUMMYFUNCTION("""COMPUTED_VALUE"""),"Morgana de Fátima Agostini Martins, Érico Francisco Vieira Ibiapina, Relma Urel Carbone Carneiro ")</f>
        <v>Morgana de Fátima Agostini Martins, Érico Francisco Vieira Ibiapina, Relma Urel Carbone Carneiro </v>
      </c>
      <c r="C454" s="24" t="str">
        <f>IFERROR(__xludf.DUMMYFUNCTION("""COMPUTED_VALUE"""),"Dourados, MS")</f>
        <v>Dourados, MS</v>
      </c>
      <c r="D454" s="24" t="str">
        <f>IFERROR(__xludf.DUMMYFUNCTION("""COMPUTED_VALUE"""),"Ed. UFGD")</f>
        <v>Ed. UFGD</v>
      </c>
      <c r="E454" s="25">
        <f>IFERROR(__xludf.DUMMYFUNCTION("""COMPUTED_VALUE"""),2013.0)</f>
        <v>2013</v>
      </c>
      <c r="F454" s="24" t="str">
        <f>IFERROR(__xludf.DUMMYFUNCTION("""COMPUTED_VALUE"""),"Professores – Formação; Educação especial")</f>
        <v>Professores – Formação; Educação especial</v>
      </c>
      <c r="G454" s="28" t="str">
        <f>IFERROR(__xludf.DUMMYFUNCTION("""COMPUTED_VALUE"""),"9788581470696")</f>
        <v>9788581470696</v>
      </c>
      <c r="H454" s="29" t="str">
        <f>IFERROR(__xludf.DUMMYFUNCTION("""COMPUTED_VALUE"""),"http://omp.ufgd.edu.br/omp/index.php/livrosabertos/catalog/view/219/133/413-3")</f>
        <v>http://omp.ufgd.edu.br/omp/index.php/livrosabertos/catalog/view/219/133/413-3</v>
      </c>
      <c r="I454" s="24" t="str">
        <f>IFERROR(__xludf.DUMMYFUNCTION("""COMPUTED_VALUE"""),"Ciências Humanas")</f>
        <v>Ciências Humanas</v>
      </c>
    </row>
    <row r="455">
      <c r="A455" s="24" t="str">
        <f>IFERROR(__xludf.DUMMYFUNCTION("""COMPUTED_VALUE"""),"Formação de professores a distância na perspectiva dos gestores escolares*")</f>
        <v>Formação de professores a distância na perspectiva dos gestores escolares*</v>
      </c>
      <c r="B455" s="24" t="str">
        <f>IFERROR(__xludf.DUMMYFUNCTION("""COMPUTED_VALUE"""),"Ricardo Luiz de Bittencourt; Gislene Camargo")</f>
        <v>Ricardo Luiz de Bittencourt; Gislene Camargo</v>
      </c>
      <c r="C455" s="24" t="str">
        <f>IFERROR(__xludf.DUMMYFUNCTION("""COMPUTED_VALUE"""),"Chapecó")</f>
        <v>Chapecó</v>
      </c>
      <c r="D455" s="24" t="str">
        <f>IFERROR(__xludf.DUMMYFUNCTION("""COMPUTED_VALUE"""),"Argos")</f>
        <v>Argos</v>
      </c>
      <c r="E455" s="25">
        <f>IFERROR(__xludf.DUMMYFUNCTION("""COMPUTED_VALUE"""),2019.0)</f>
        <v>2019</v>
      </c>
      <c r="F455" s="24" t="str">
        <f>IFERROR(__xludf.DUMMYFUNCTION("""COMPUTED_VALUE"""),"Educação a distância; Ensino Superior")</f>
        <v>Educação a distância; Ensino Superior</v>
      </c>
      <c r="G455" s="28" t="str">
        <f>IFERROR(__xludf.DUMMYFUNCTION("""COMPUTED_VALUE"""),"9788578973223")</f>
        <v>9788578973223</v>
      </c>
      <c r="H455" s="29" t="str">
        <f>IFERROR(__xludf.DUMMYFUNCTION("""COMPUTED_VALUE"""),"https://www.editoraargos.com.br/farol/editoraargos/ebook/formacao-de-professores-a-distancia-na-perspectiva-dos-gestores-escolares/1205432/")</f>
        <v>https://www.editoraargos.com.br/farol/editoraargos/ebook/formacao-de-professores-a-distancia-na-perspectiva-dos-gestores-escolares/1205432/</v>
      </c>
      <c r="I455" s="24" t="str">
        <f>IFERROR(__xludf.DUMMYFUNCTION("""COMPUTED_VALUE"""),"Ciências Humanas")</f>
        <v>Ciências Humanas</v>
      </c>
    </row>
    <row r="456">
      <c r="A456" s="24" t="str">
        <f>IFERROR(__xludf.DUMMYFUNCTION("""COMPUTED_VALUE"""),"Formação de Professores no Pibid/UFAC")</f>
        <v>Formação de Professores no Pibid/UFAC</v>
      </c>
      <c r="B456" s="24" t="str">
        <f>IFERROR(__xludf.DUMMYFUNCTION("""COMPUTED_VALUE"""),"Organizadoras; Geórgia Pereira Lima; Bianca Martins Santos; Franciana Carneiro de Castro")</f>
        <v>Organizadoras; Geórgia Pereira Lima; Bianca Martins Santos; Franciana Carneiro de Castro</v>
      </c>
      <c r="C456" s="24" t="str">
        <f>IFERROR(__xludf.DUMMYFUNCTION("""COMPUTED_VALUE"""),"Rio Branco")</f>
        <v>Rio Branco</v>
      </c>
      <c r="D456" s="24" t="str">
        <f>IFERROR(__xludf.DUMMYFUNCTION("""COMPUTED_VALUE"""),"Edufac")</f>
        <v>Edufac</v>
      </c>
      <c r="E456" s="25">
        <f>IFERROR(__xludf.DUMMYFUNCTION("""COMPUTED_VALUE"""),2020.0)</f>
        <v>2020</v>
      </c>
      <c r="F456" s="24" t="str">
        <f>IFERROR(__xludf.DUMMYFUNCTION("""COMPUTED_VALUE"""),"Formação de professores; Programa Institucional de Bolsas de Iniciação à Docência (Pibid) – Universidade Federal do Acre; Iniciação à docência")</f>
        <v>Formação de professores; Programa Institucional de Bolsas de Iniciação à Docência (Pibid) – Universidade Federal do Acre; Iniciação à docência</v>
      </c>
      <c r="G456" s="28" t="str">
        <f>IFERROR(__xludf.DUMMYFUNCTION("""COMPUTED_VALUE"""),"9788599044106")</f>
        <v>9788599044106</v>
      </c>
      <c r="H456" s="29" t="str">
        <f>IFERROR(__xludf.DUMMYFUNCTION("""COMPUTED_VALUE"""),"http://www2.ufac.br/editora/livros/formacao-de-professores-no-pibid-ufac.pdf")</f>
        <v>http://www2.ufac.br/editora/livros/formacao-de-professores-no-pibid-ufac.pdf</v>
      </c>
      <c r="I456" s="24" t="str">
        <f>IFERROR(__xludf.DUMMYFUNCTION("""COMPUTED_VALUE"""),"Ciências Humanas")</f>
        <v>Ciências Humanas</v>
      </c>
    </row>
    <row r="457">
      <c r="A457" s="24" t="str">
        <f>IFERROR(__xludf.DUMMYFUNCTION("""COMPUTED_VALUE"""),"Formação de professores para uma educação plural e democrática: narrativas, saberes, práticas e políticas educativas na América Latina")</f>
        <v>Formação de professores para uma educação plural e democrática: narrativas, saberes, práticas e políticas educativas na América Latina</v>
      </c>
      <c r="B457" s="24" t="str">
        <f>IFERROR(__xludf.DUMMYFUNCTION("""COMPUTED_VALUE"""),"organização Luiz Fernando Conde Sangenis, Elaine Ferreira Rezende de Oliveira, Heloísa Josiele Santos Carreiro. ")</f>
        <v>organização Luiz Fernando Conde Sangenis, Elaine Ferreira Rezende de Oliveira, Heloísa Josiele Santos Carreiro. </v>
      </c>
      <c r="C457" s="24" t="str">
        <f>IFERROR(__xludf.DUMMYFUNCTION("""COMPUTED_VALUE"""),"Rio de Janeiro, RJ")</f>
        <v>Rio de Janeiro, RJ</v>
      </c>
      <c r="D457" s="24" t="str">
        <f>IFERROR(__xludf.DUMMYFUNCTION("""COMPUTED_VALUE"""),"EdUERJ")</f>
        <v>EdUERJ</v>
      </c>
      <c r="E457" s="25">
        <f>IFERROR(__xludf.DUMMYFUNCTION("""COMPUTED_VALUE"""),2018.0)</f>
        <v>2018</v>
      </c>
      <c r="F457" s="24" t="str">
        <f>IFERROR(__xludf.DUMMYFUNCTION("""COMPUTED_VALUE"""),"Educação - América Latina; Professores - Formação América Latina")</f>
        <v>Educação - América Latina; Professores - Formação América Latina</v>
      </c>
      <c r="G457" s="28" t="str">
        <f>IFERROR(__xludf.DUMMYFUNCTION("""COMPUTED_VALUE"""),"9788575114827")</f>
        <v>9788575114827</v>
      </c>
      <c r="H457" s="29" t="str">
        <f>IFERROR(__xludf.DUMMYFUNCTION("""COMPUTED_VALUE"""),"http://books.scielo.org/id/ngnq4/pdf/sangenis-9788575114841.pdf")</f>
        <v>http://books.scielo.org/id/ngnq4/pdf/sangenis-9788575114841.pdf</v>
      </c>
      <c r="I457" s="24" t="str">
        <f>IFERROR(__xludf.DUMMYFUNCTION("""COMPUTED_VALUE"""),"Ciências Humanas")</f>
        <v>Ciências Humanas</v>
      </c>
    </row>
    <row r="458">
      <c r="A458" s="24" t="str">
        <f>IFERROR(__xludf.DUMMYFUNCTION("""COMPUTED_VALUE"""),"Formação de professores, práticas pedagógicas e inclusão escolar: perspectivas luso-brasileiras")</f>
        <v>Formação de professores, práticas pedagógicas e inclusão escolar: perspectivas luso-brasileiras</v>
      </c>
      <c r="B458" s="24" t="str">
        <f>IFERROR(__xludf.DUMMYFUNCTION("""COMPUTED_VALUE"""),"Ivone Martins de Oliveira, David Rodrigues, Denise Meyrelles de Jesus (org.))")</f>
        <v>Ivone Martins de Oliveira, David Rodrigues, Denise Meyrelles de Jesus (org.))</v>
      </c>
      <c r="C458" s="24" t="str">
        <f>IFERROR(__xludf.DUMMYFUNCTION("""COMPUTED_VALUE"""),"Vitória")</f>
        <v>Vitória</v>
      </c>
      <c r="D458" s="24" t="str">
        <f>IFERROR(__xludf.DUMMYFUNCTION("""COMPUTED_VALUE"""),"EDUFES")</f>
        <v>EDUFES</v>
      </c>
      <c r="E458" s="25">
        <f>IFERROR(__xludf.DUMMYFUNCTION("""COMPUTED_VALUE"""),2017.0)</f>
        <v>2017</v>
      </c>
      <c r="F458" s="24" t="str">
        <f>IFERROR(__xludf.DUMMYFUNCTION("""COMPUTED_VALUE"""),"Professores - Formação; Prática de ensino; Inclusão escolar")</f>
        <v>Professores - Formação; Prática de ensino; Inclusão escolar</v>
      </c>
      <c r="G458" s="28" t="str">
        <f>IFERROR(__xludf.DUMMYFUNCTION("""COMPUTED_VALUE"""),"9788577722297")</f>
        <v>9788577722297</v>
      </c>
      <c r="H458" s="29" t="str">
        <f>IFERROR(__xludf.DUMMYFUNCTION("""COMPUTED_VALUE"""),"http://repositorio.ufes.br:8080/bitstream/10/11426/1/Formacao%20de%20professores%2C%20praticas%20pedagogicas%20e%20inclusao%20escolar.pdf")</f>
        <v>http://repositorio.ufes.br:8080/bitstream/10/11426/1/Formacao%20de%20professores%2C%20praticas%20pedagogicas%20e%20inclusao%20escolar.pdf</v>
      </c>
      <c r="I458" s="24" t="str">
        <f>IFERROR(__xludf.DUMMYFUNCTION("""COMPUTED_VALUE"""),"Ciências Humanas")</f>
        <v>Ciências Humanas</v>
      </c>
    </row>
    <row r="459">
      <c r="A459" s="24" t="str">
        <f>IFERROR(__xludf.DUMMYFUNCTION("""COMPUTED_VALUE"""),"Formação de professores: por uma ressignificação do trabalho pedagógico na escola.")</f>
        <v>Formação de professores: por uma ressignificação do trabalho pedagógico na escola.</v>
      </c>
      <c r="B459" s="24" t="str">
        <f>IFERROR(__xludf.DUMMYFUNCTION("""COMPUTED_VALUE"""),"Paulo Gomes Lima")</f>
        <v>Paulo Gomes Lima</v>
      </c>
      <c r="C459" s="24" t="str">
        <f>IFERROR(__xludf.DUMMYFUNCTION("""COMPUTED_VALUE"""),"Dourados, MS")</f>
        <v>Dourados, MS</v>
      </c>
      <c r="D459" s="24" t="str">
        <f>IFERROR(__xludf.DUMMYFUNCTION("""COMPUTED_VALUE"""),"Editora da UFGD")</f>
        <v>Editora da UFGD</v>
      </c>
      <c r="E459" s="25">
        <f>IFERROR(__xludf.DUMMYFUNCTION("""COMPUTED_VALUE"""),2010.0)</f>
        <v>2010</v>
      </c>
      <c r="F459" s="24" t="str">
        <f>IFERROR(__xludf.DUMMYFUNCTION("""COMPUTED_VALUE"""),"Professores - Formação")</f>
        <v>Professores - Formação</v>
      </c>
      <c r="G459" s="28" t="str">
        <f>IFERROR(__xludf.DUMMYFUNCTION("""COMPUTED_VALUE"""),"9788561228620")</f>
        <v>9788561228620</v>
      </c>
      <c r="H459" s="29" t="str">
        <f>IFERROR(__xludf.DUMMYFUNCTION("""COMPUTED_VALUE"""),"http://omp.ufgd.edu.br/omp/index.php/livrosabertos/catalog/view/220/132/412-1")</f>
        <v>http://omp.ufgd.edu.br/omp/index.php/livrosabertos/catalog/view/220/132/412-1</v>
      </c>
      <c r="I459" s="24" t="str">
        <f>IFERROR(__xludf.DUMMYFUNCTION("""COMPUTED_VALUE"""),"Ciências Humanas")</f>
        <v>Ciências Humanas</v>
      </c>
    </row>
    <row r="460">
      <c r="A460" s="24" t="str">
        <f>IFERROR(__xludf.DUMMYFUNCTION("""COMPUTED_VALUE"""),"Formação de professores: projetos, experiências e diálogos em construção")</f>
        <v>Formação de professores: projetos, experiências e diálogos em construção</v>
      </c>
      <c r="B460" s="24" t="str">
        <f>IFERROR(__xludf.DUMMYFUNCTION("""COMPUTED_VALUE"""),"Neiva Santos Masson Fernandes; Rejany Dominick; Sueli Camargo")</f>
        <v>Neiva Santos Masson Fernandes; Rejany Dominick; Sueli Camargo</v>
      </c>
      <c r="C460" s="24" t="str">
        <f>IFERROR(__xludf.DUMMYFUNCTION("""COMPUTED_VALUE"""),"Niterói, RJ")</f>
        <v>Niterói, RJ</v>
      </c>
      <c r="D460" s="24" t="str">
        <f>IFERROR(__xludf.DUMMYFUNCTION("""COMPUTED_VALUE"""),"EDUFF")</f>
        <v>EDUFF</v>
      </c>
      <c r="E460" s="25">
        <f>IFERROR(__xludf.DUMMYFUNCTION("""COMPUTED_VALUE"""),2008.0)</f>
        <v>2008</v>
      </c>
      <c r="F460" s="24" t="str">
        <f>IFERROR(__xludf.DUMMYFUNCTION("""COMPUTED_VALUE"""),"Educação; Educação e responsabilidade social")</f>
        <v>Educação; Educação e responsabilidade social</v>
      </c>
      <c r="G460" s="28" t="str">
        <f>IFERROR(__xludf.DUMMYFUNCTION("""COMPUTED_VALUE"""),"9788522805020")</f>
        <v>9788522805020</v>
      </c>
      <c r="H460" s="29" t="str">
        <f>IFERROR(__xludf.DUMMYFUNCTION("""COMPUTED_VALUE"""),"http://bit.ly/Formacao-de-professores")</f>
        <v>http://bit.ly/Formacao-de-professores</v>
      </c>
      <c r="I460" s="24" t="str">
        <f>IFERROR(__xludf.DUMMYFUNCTION("""COMPUTED_VALUE"""),"Ciências Humanas")</f>
        <v>Ciências Humanas</v>
      </c>
    </row>
    <row r="461">
      <c r="A461" s="24" t="str">
        <f>IFERROR(__xludf.DUMMYFUNCTION("""COMPUTED_VALUE"""),"Formação docente e autorreflexão pela arte: práticas pedagógicas coletivas de si na escola")</f>
        <v>Formação docente e autorreflexão pela arte: práticas pedagógicas coletivas de si na escola</v>
      </c>
      <c r="B461" s="24" t="str">
        <f>IFERROR(__xludf.DUMMYFUNCTION("""COMPUTED_VALUE"""),"Zamperetti, Maristani Polidori")</f>
        <v>Zamperetti, Maristani Polidori</v>
      </c>
      <c r="C461" s="24" t="str">
        <f>IFERROR(__xludf.DUMMYFUNCTION("""COMPUTED_VALUE"""),"Pelotas")</f>
        <v>Pelotas</v>
      </c>
      <c r="D461" s="24" t="str">
        <f>IFERROR(__xludf.DUMMYFUNCTION("""COMPUTED_VALUE"""),"UFPel")</f>
        <v>UFPel</v>
      </c>
      <c r="E461" s="25">
        <f>IFERROR(__xludf.DUMMYFUNCTION("""COMPUTED_VALUE"""),2017.0)</f>
        <v>2017</v>
      </c>
      <c r="F461" s="24" t="str">
        <f>IFERROR(__xludf.DUMMYFUNCTION("""COMPUTED_VALUE"""),"Arte; Autorreflexão; Educação; Formação de professores; Práticas pedagógicas")</f>
        <v>Arte; Autorreflexão; Educação; Formação de professores; Práticas pedagógicas</v>
      </c>
      <c r="G461" s="28" t="str">
        <f>IFERROR(__xludf.DUMMYFUNCTION("""COMPUTED_VALUE"""),"9788571929579")</f>
        <v>9788571929579</v>
      </c>
      <c r="H461" s="29" t="str">
        <f>IFERROR(__xludf.DUMMYFUNCTION("""COMPUTED_VALUE"""),"http://repositorio.ufpel.edu.br:8080/handle/prefix/3803 ")</f>
        <v>http://repositorio.ufpel.edu.br:8080/handle/prefix/3803 </v>
      </c>
      <c r="I461" s="24" t="str">
        <f>IFERROR(__xludf.DUMMYFUNCTION("""COMPUTED_VALUE"""),"Ciências Humanas")</f>
        <v>Ciências Humanas</v>
      </c>
    </row>
    <row r="462">
      <c r="A462" s="24" t="str">
        <f>IFERROR(__xludf.DUMMYFUNCTION("""COMPUTED_VALUE"""),"Formação docente para a educação infanil: experiências em curso")</f>
        <v>Formação docente para a educação infanil: experiências em curso</v>
      </c>
      <c r="B462" s="24" t="str">
        <f>IFERROR(__xludf.DUMMYFUNCTION("""COMPUTED_VALUE"""),"Magda Sarat, Marta Coelho Castro Troquez, Thaise da Silva (org.)")</f>
        <v>Magda Sarat, Marta Coelho Castro Troquez, Thaise da Silva (org.)</v>
      </c>
      <c r="C462" s="24" t="str">
        <f>IFERROR(__xludf.DUMMYFUNCTION("""COMPUTED_VALUE"""),"Dourados, MS")</f>
        <v>Dourados, MS</v>
      </c>
      <c r="D462" s="24" t="str">
        <f>IFERROR(__xludf.DUMMYFUNCTION("""COMPUTED_VALUE"""),"Ed. Universidade Federal da Grande Dourados")</f>
        <v>Ed. Universidade Federal da Grande Dourados</v>
      </c>
      <c r="E462" s="25">
        <f>IFERROR(__xludf.DUMMYFUNCTION("""COMPUTED_VALUE"""),2018.0)</f>
        <v>2018</v>
      </c>
      <c r="F462" s="24" t="str">
        <f>IFERROR(__xludf.DUMMYFUNCTION("""COMPUTED_VALUE"""),"Educação infanil; Professores - Formação; Crianças - Pesquisa")</f>
        <v>Educação infanil; Professores - Formação; Crianças - Pesquisa</v>
      </c>
      <c r="G462" s="28" t="str">
        <f>IFERROR(__xludf.DUMMYFUNCTION("""COMPUTED_VALUE"""),"9788581471532")</f>
        <v>9788581471532</v>
      </c>
      <c r="H462" s="29" t="str">
        <f>IFERROR(__xludf.DUMMYFUNCTION("""COMPUTED_VALUE"""),"http://omp.ufgd.edu.br/omp/index.php/livrosabertos/catalog/view/248/244/533-1")</f>
        <v>http://omp.ufgd.edu.br/omp/index.php/livrosabertos/catalog/view/248/244/533-1</v>
      </c>
      <c r="I462" s="24" t="str">
        <f>IFERROR(__xludf.DUMMYFUNCTION("""COMPUTED_VALUE"""),"Ciências Humanas")</f>
        <v>Ciências Humanas</v>
      </c>
    </row>
    <row r="463">
      <c r="A463" s="24" t="str">
        <f>IFERROR(__xludf.DUMMYFUNCTION("""COMPUTED_VALUE"""),"Formação humana: espaços e representações")</f>
        <v>Formação humana: espaços e representações</v>
      </c>
      <c r="B463" s="24" t="str">
        <f>IFERROR(__xludf.DUMMYFUNCTION("""COMPUTED_VALUE"""),"Cristina Satiê de Oliveira Pátaro; Marcos Clair Bovo (org.)")</f>
        <v>Cristina Satiê de Oliveira Pátaro; Marcos Clair Bovo (org.)</v>
      </c>
      <c r="C463" s="24" t="str">
        <f>IFERROR(__xludf.DUMMYFUNCTION("""COMPUTED_VALUE"""),"Campo Mourão, PR")</f>
        <v>Campo Mourão, PR</v>
      </c>
      <c r="D463" s="24" t="str">
        <f>IFERROR(__xludf.DUMMYFUNCTION("""COMPUTED_VALUE"""),"Editora Fecilcam")</f>
        <v>Editora Fecilcam</v>
      </c>
      <c r="E463" s="25">
        <f>IFERROR(__xludf.DUMMYFUNCTION("""COMPUTED_VALUE"""),2016.0)</f>
        <v>2016</v>
      </c>
      <c r="F463" s="24" t="str">
        <f>IFERROR(__xludf.DUMMYFUNCTION("""COMPUTED_VALUE"""),"Interdisciplinaridade. Verticalização urbana")</f>
        <v>Interdisciplinaridade. Verticalização urbana</v>
      </c>
      <c r="G463" s="28" t="str">
        <f>IFERROR(__xludf.DUMMYFUNCTION("""COMPUTED_VALUE"""),"9788588753433")</f>
        <v>9788588753433</v>
      </c>
      <c r="H463" s="29" t="str">
        <f>IFERROR(__xludf.DUMMYFUNCTION("""COMPUTED_VALUE"""),"http://campomourao.unespar.edu.br/editora/obras-digitais/formacao-humana-espacos-e-representacoes")</f>
        <v>http://campomourao.unespar.edu.br/editora/obras-digitais/formacao-humana-espacos-e-representacoes</v>
      </c>
      <c r="I463" s="24" t="str">
        <f>IFERROR(__xludf.DUMMYFUNCTION("""COMPUTED_VALUE"""),"Ciências Humanas")</f>
        <v>Ciências Humanas</v>
      </c>
    </row>
    <row r="464">
      <c r="A464" s="24" t="str">
        <f>IFERROR(__xludf.DUMMYFUNCTION("""COMPUTED_VALUE"""),"Formação inicial crítico-reflexiva de professores de língua estrangeira em um contexto de fronteira")</f>
        <v>Formação inicial crítico-reflexiva de professores de língua estrangeira em um contexto de fronteira</v>
      </c>
      <c r="B464" s="24" t="str">
        <f>IFERROR(__xludf.DUMMYFUNCTION("""COMPUTED_VALUE"""),"ALDENICE DE ANDRADE COUTO")</f>
        <v>ALDENICE DE ANDRADE COUTO</v>
      </c>
      <c r="C464" s="24" t="str">
        <f>IFERROR(__xludf.DUMMYFUNCTION("""COMPUTED_VALUE"""),"Macapá")</f>
        <v>Macapá</v>
      </c>
      <c r="D464" s="24" t="str">
        <f>IFERROR(__xludf.DUMMYFUNCTION("""COMPUTED_VALUE"""),"UNIFAP")</f>
        <v>UNIFAP</v>
      </c>
      <c r="E464" s="25">
        <f>IFERROR(__xludf.DUMMYFUNCTION("""COMPUTED_VALUE"""),2019.0)</f>
        <v>2019</v>
      </c>
      <c r="F464" s="24" t="str">
        <f>IFERROR(__xludf.DUMMYFUNCTION("""COMPUTED_VALUE"""),"Ensino; Educação - Currículo; Pesquisa Educacional")</f>
        <v>Ensino; Educação - Currículo; Pesquisa Educacional</v>
      </c>
      <c r="G464" s="28" t="str">
        <f>IFERROR(__xludf.DUMMYFUNCTION("""COMPUTED_VALUE"""),"9788554760601")</f>
        <v>9788554760601</v>
      </c>
      <c r="H464" s="29" t="str">
        <f>IFERROR(__xludf.DUMMYFUNCTION("""COMPUTED_VALUE"""),"https://www2.unifap.br/editora/files/2019/02/Formacao-de-professores-de-lingua-estrangeira.pdf")</f>
        <v>https://www2.unifap.br/editora/files/2019/02/Formacao-de-professores-de-lingua-estrangeira.pdf</v>
      </c>
      <c r="I464" s="24" t="str">
        <f>IFERROR(__xludf.DUMMYFUNCTION("""COMPUTED_VALUE"""),"Ciências Humanas")</f>
        <v>Ciências Humanas</v>
      </c>
    </row>
    <row r="465">
      <c r="A465" s="24" t="str">
        <f>IFERROR(__xludf.DUMMYFUNCTION("""COMPUTED_VALUE"""),"Formação inicial e continuada de professores: o múltiplo e o complexo das práticas educativas")</f>
        <v>Formação inicial e continuada de professores: o múltiplo e o complexo das práticas educativas</v>
      </c>
      <c r="B465" s="24" t="str">
        <f>IFERROR(__xludf.DUMMYFUNCTION("""COMPUTED_VALUE"""),"Adair Vieira Gonçalves; Maria Rosa Petroni (org.)")</f>
        <v>Adair Vieira Gonçalves; Maria Rosa Petroni (org.)</v>
      </c>
      <c r="C465" s="24" t="str">
        <f>IFERROR(__xludf.DUMMYFUNCTION("""COMPUTED_VALUE"""),"Dourados, MS")</f>
        <v>Dourados, MS</v>
      </c>
      <c r="D465" s="24" t="str">
        <f>IFERROR(__xludf.DUMMYFUNCTION("""COMPUTED_VALUE"""),"Editora da UFGD")</f>
        <v>Editora da UFGD</v>
      </c>
      <c r="E465" s="25">
        <f>IFERROR(__xludf.DUMMYFUNCTION("""COMPUTED_VALUE"""),2012.0)</f>
        <v>2012</v>
      </c>
      <c r="F465" s="24" t="str">
        <f>IFERROR(__xludf.DUMMYFUNCTION("""COMPUTED_VALUE"""),"Professores – Formação; Práticas educativas")</f>
        <v>Professores – Formação; Práticas educativas</v>
      </c>
      <c r="G465" s="28" t="str">
        <f>IFERROR(__xludf.DUMMYFUNCTION("""COMPUTED_VALUE"""),"9788561228880")</f>
        <v>9788561228880</v>
      </c>
      <c r="H465" s="29" t="str">
        <f>IFERROR(__xludf.DUMMYFUNCTION("""COMPUTED_VALUE"""),"http://omp.ufgd.edu.br/omp/index.php/livrosabertos/catalog/view/249/245/535-1")</f>
        <v>http://omp.ufgd.edu.br/omp/index.php/livrosabertos/catalog/view/249/245/535-1</v>
      </c>
      <c r="I465" s="24" t="str">
        <f>IFERROR(__xludf.DUMMYFUNCTION("""COMPUTED_VALUE"""),"Ciências Humanas")</f>
        <v>Ciências Humanas</v>
      </c>
    </row>
    <row r="466">
      <c r="A466" s="24" t="str">
        <f>IFERROR(__xludf.DUMMYFUNCTION("""COMPUTED_VALUE"""),"Formações subjetivas: o sujeito à luz da teoria dos discursos.")</f>
        <v>Formações subjetivas: o sujeito à luz da teoria dos discursos.</v>
      </c>
      <c r="B466" s="24" t="str">
        <f>IFERROR(__xludf.DUMMYFUNCTION("""COMPUTED_VALUE"""),"Conrado Neves Sathler")</f>
        <v>Conrado Neves Sathler</v>
      </c>
      <c r="C466" s="24" t="str">
        <f>IFERROR(__xludf.DUMMYFUNCTION("""COMPUTED_VALUE"""),"Dourados, MS")</f>
        <v>Dourados, MS</v>
      </c>
      <c r="D466" s="24" t="str">
        <f>IFERROR(__xludf.DUMMYFUNCTION("""COMPUTED_VALUE"""),"Editora da UFGD")</f>
        <v>Editora da UFGD</v>
      </c>
      <c r="E466" s="25">
        <f>IFERROR(__xludf.DUMMYFUNCTION("""COMPUTED_VALUE"""),2016.0)</f>
        <v>2016</v>
      </c>
      <c r="F466" s="24" t="str">
        <f>IFERROR(__xludf.DUMMYFUNCTION("""COMPUTED_VALUE"""),"Discurso; Linguagem; Pós-modernidade; Processos de Subjetivação; Sujeito")</f>
        <v>Discurso; Linguagem; Pós-modernidade; Processos de Subjetivação; Sujeito</v>
      </c>
      <c r="G466" s="28" t="str">
        <f>IFERROR(__xludf.DUMMYFUNCTION("""COMPUTED_VALUE"""),"9788581471150")</f>
        <v>9788581471150</v>
      </c>
      <c r="H466" s="29" t="str">
        <f>IFERROR(__xludf.DUMMYFUNCTION("""COMPUTED_VALUE"""),"http://omp.ufgd.edu.br/omp/index.php/livrosabertos/catalog/view/107/231/512-1")</f>
        <v>http://omp.ufgd.edu.br/omp/index.php/livrosabertos/catalog/view/107/231/512-1</v>
      </c>
      <c r="I466" s="24" t="str">
        <f>IFERROR(__xludf.DUMMYFUNCTION("""COMPUTED_VALUE"""),"Ciências Humanas")</f>
        <v>Ciências Humanas</v>
      </c>
    </row>
    <row r="467">
      <c r="A467" s="24" t="str">
        <f>IFERROR(__xludf.DUMMYFUNCTION("""COMPUTED_VALUE"""),"Fotografias da política linguística na pós-graduação no Brasil")</f>
        <v>Fotografias da política linguística na pós-graduação no Brasil</v>
      </c>
      <c r="B467" s="24" t="str">
        <f>IFERROR(__xludf.DUMMYFUNCTION("""COMPUTED_VALUE"""),"Socorro Cláudia Tavares de Sousa; Andrea Silva Ponte; Emny Nicole B. de Sousa-Bernini")</f>
        <v>Socorro Cláudia Tavares de Sousa; Andrea Silva Ponte; Emny Nicole B. de Sousa-Bernini</v>
      </c>
      <c r="C467" s="24" t="str">
        <f>IFERROR(__xludf.DUMMYFUNCTION("""COMPUTED_VALUE"""),"João Pessoa")</f>
        <v>João Pessoa</v>
      </c>
      <c r="D467" s="24" t="str">
        <f>IFERROR(__xludf.DUMMYFUNCTION("""COMPUTED_VALUE"""),"Editora da UFPB")</f>
        <v>Editora da UFPB</v>
      </c>
      <c r="E467" s="25">
        <f>IFERROR(__xludf.DUMMYFUNCTION("""COMPUTED_VALUE"""),2019.0)</f>
        <v>2019</v>
      </c>
      <c r="F467" s="24" t="str">
        <f>IFERROR(__xludf.DUMMYFUNCTION("""COMPUTED_VALUE"""),"Linguística. Pós-graduação-Brasil. Línguas estrangeiras-políticas")</f>
        <v>Linguística. Pós-graduação-Brasil. Línguas estrangeiras-políticas</v>
      </c>
      <c r="G467" s="28" t="str">
        <f>IFERROR(__xludf.DUMMYFUNCTION("""COMPUTED_VALUE"""),"9788523713881")</f>
        <v>9788523713881</v>
      </c>
      <c r="H467" s="29" t="str">
        <f>IFERROR(__xludf.DUMMYFUNCTION("""COMPUTED_VALUE"""),"http://www.editora.ufpb.br/sistema/press5/index.php/UFPB/catalog/book/136")</f>
        <v>http://www.editora.ufpb.br/sistema/press5/index.php/UFPB/catalog/book/136</v>
      </c>
      <c r="I467" s="24" t="str">
        <f>IFERROR(__xludf.DUMMYFUNCTION("""COMPUTED_VALUE"""),"Ciências Humanas")</f>
        <v>Ciências Humanas</v>
      </c>
    </row>
    <row r="468">
      <c r="A468" s="24" t="str">
        <f>IFERROR(__xludf.DUMMYFUNCTION("""COMPUTED_VALUE"""),"Foucault e a educação: acerca da disciplina, governo e cuidado de si")</f>
        <v>Foucault e a educação: acerca da disciplina, governo e cuidado de si</v>
      </c>
      <c r="B468" s="24" t="str">
        <f>IFERROR(__xludf.DUMMYFUNCTION("""COMPUTED_VALUE"""),"Almira Lins de Medeiros; José Pereira da Silva (org.)")</f>
        <v>Almira Lins de Medeiros; José Pereira da Silva (org.)</v>
      </c>
      <c r="C468" s="24" t="str">
        <f>IFERROR(__xludf.DUMMYFUNCTION("""COMPUTED_VALUE"""),"Campina Grande")</f>
        <v>Campina Grande</v>
      </c>
      <c r="D468" s="24" t="str">
        <f>IFERROR(__xludf.DUMMYFUNCTION("""COMPUTED_VALUE"""),"EDUEPB")</f>
        <v>EDUEPB</v>
      </c>
      <c r="E468" s="25">
        <f>IFERROR(__xludf.DUMMYFUNCTION("""COMPUTED_VALUE"""),2020.0)</f>
        <v>2020</v>
      </c>
      <c r="F468" s="24" t="str">
        <f>IFERROR(__xludf.DUMMYFUNCTION("""COMPUTED_VALUE"""),"Educação - Filosofia. Psicologia educacional. Práticas educativas.; Educação – Relações de poder. Fascismo – Discursos midiáticos – Brasil. Psicologia – Discurso-poder")</f>
        <v>Educação - Filosofia. Psicologia educacional. Práticas educativas.; Educação – Relações de poder. Fascismo – Discursos midiáticos – Brasil. Psicologia – Discurso-poder</v>
      </c>
      <c r="G468" s="28" t="str">
        <f>IFERROR(__xludf.DUMMYFUNCTION("""COMPUTED_VALUE"""),"9786586221145")</f>
        <v>9786586221145</v>
      </c>
      <c r="H468" s="29" t="str">
        <f>IFERROR(__xludf.DUMMYFUNCTION("""COMPUTED_VALUE"""),"http://eduepb.uepb.edu.br/download/foucault-e-a-educacao/?wpdmdl=1102&amp;#038;masterkey=5f0f4c6e25cfb")</f>
        <v>http://eduepb.uepb.edu.br/download/foucault-e-a-educacao/?wpdmdl=1102&amp;#038;masterkey=5f0f4c6e25cfb</v>
      </c>
      <c r="I468" s="24" t="str">
        <f>IFERROR(__xludf.DUMMYFUNCTION("""COMPUTED_VALUE"""),"Ciências Humanas")</f>
        <v>Ciências Humanas</v>
      </c>
    </row>
    <row r="469">
      <c r="A469" s="24" t="str">
        <f>IFERROR(__xludf.DUMMYFUNCTION("""COMPUTED_VALUE"""),"Franciscanos no Brasil – Protagonismos na educação, na história e na política")</f>
        <v>Franciscanos no Brasil – Protagonismos na educação, na história e na política</v>
      </c>
      <c r="B469" s="24" t="str">
        <f>IFERROR(__xludf.DUMMYFUNCTION("""COMPUTED_VALUE"""),"Luiz Fernando Conde Sangenis (Org.)")</f>
        <v>Luiz Fernando Conde Sangenis (Org.)</v>
      </c>
      <c r="C469" s="24" t="str">
        <f>IFERROR(__xludf.DUMMYFUNCTION("""COMPUTED_VALUE"""),"Rio de Janeiro")</f>
        <v>Rio de Janeiro</v>
      </c>
      <c r="D469" s="24" t="str">
        <f>IFERROR(__xludf.DUMMYFUNCTION("""COMPUTED_VALUE"""),"EdUERJ")</f>
        <v>EdUERJ</v>
      </c>
      <c r="E469" s="25">
        <f>IFERROR(__xludf.DUMMYFUNCTION("""COMPUTED_VALUE"""),2019.0)</f>
        <v>2019</v>
      </c>
      <c r="F469" s="24" t="str">
        <f>IFERROR(__xludf.DUMMYFUNCTION("""COMPUTED_VALUE"""),"Francsicanos; Educação; História; Política")</f>
        <v>Francsicanos; Educação; História; Política</v>
      </c>
      <c r="G469" s="28" t="str">
        <f>IFERROR(__xludf.DUMMYFUNCTION("""COMPUTED_VALUE"""),"9788575114926")</f>
        <v>9788575114926</v>
      </c>
      <c r="H469" s="29" t="str">
        <f>IFERROR(__xludf.DUMMYFUNCTION("""COMPUTED_VALUE"""),"https://www.eduerj.com/eng/?product=franciscanos-no-brasil-protagonismos-na-educacao-na-historia-e-na-politica")</f>
        <v>https://www.eduerj.com/eng/?product=franciscanos-no-brasil-protagonismos-na-educacao-na-historia-e-na-politica</v>
      </c>
      <c r="I469" s="24" t="str">
        <f>IFERROR(__xludf.DUMMYFUNCTION("""COMPUTED_VALUE"""),"Ciências Humanas")</f>
        <v>Ciências Humanas</v>
      </c>
    </row>
    <row r="470">
      <c r="A470" s="24" t="str">
        <f>IFERROR(__xludf.DUMMYFUNCTION("""COMPUTED_VALUE"""),"Francisco José de Lacerda e Almeida: um astrônomo paulista no sertão africano")</f>
        <v>Francisco José de Lacerda e Almeida: um astrônomo paulista no sertão africano</v>
      </c>
      <c r="B470" s="24" t="str">
        <f>IFERROR(__xludf.DUMMYFUNCTION("""COMPUTED_VALUE"""),"Pereira, Magnus R. Mello ; Ribas, André Akamine")</f>
        <v>Pereira, Magnus R. Mello ; Ribas, André Akamine</v>
      </c>
      <c r="C470" s="24" t="str">
        <f>IFERROR(__xludf.DUMMYFUNCTION("""COMPUTED_VALUE"""),"Curitiba")</f>
        <v>Curitiba</v>
      </c>
      <c r="D470" s="24" t="str">
        <f>IFERROR(__xludf.DUMMYFUNCTION("""COMPUTED_VALUE"""),"UFPR")</f>
        <v>UFPR</v>
      </c>
      <c r="E470" s="25">
        <f>IFERROR(__xludf.DUMMYFUNCTION("""COMPUTED_VALUE"""),2012.0)</f>
        <v>2012</v>
      </c>
      <c r="F470" s="24" t="str">
        <f>IFERROR(__xludf.DUMMYFUNCTION("""COMPUTED_VALUE"""),"Diario de viagens")</f>
        <v>Diario de viagens</v>
      </c>
      <c r="G470" s="26"/>
      <c r="H470" s="29" t="str">
        <f>IFERROR(__xludf.DUMMYFUNCTION("""COMPUTED_VALUE"""),"https://hdl.handle.net/1884/63935")</f>
        <v>https://hdl.handle.net/1884/63935</v>
      </c>
      <c r="I470" s="24" t="str">
        <f>IFERROR(__xludf.DUMMYFUNCTION("""COMPUTED_VALUE"""),"Ciências Humanas")</f>
        <v>Ciências Humanas</v>
      </c>
    </row>
    <row r="471">
      <c r="A471" s="24" t="str">
        <f>IFERROR(__xludf.DUMMYFUNCTION("""COMPUTED_VALUE"""),"Fronteiras: quando o “paraíso” e o “inferno” moram ao lado. Identidades, imagens e gentes por entre Ponta Porã (Mato Grosso do Sul, Brasil) e Pedro Juan Caballero (Amambay, Paraguai).")</f>
        <v>Fronteiras: quando o “paraíso” e o “inferno” moram ao lado. Identidades, imagens e gentes por entre Ponta Porã (Mato Grosso do Sul, Brasil) e Pedro Juan Caballero (Amambay, Paraguai).</v>
      </c>
      <c r="B471" s="24" t="str">
        <f>IFERROR(__xludf.DUMMYFUNCTION("""COMPUTED_VALUE"""),"Jones Dari Goettert ")</f>
        <v>Jones Dari Goettert </v>
      </c>
      <c r="C471" s="24" t="str">
        <f>IFERROR(__xludf.DUMMYFUNCTION("""COMPUTED_VALUE"""),"Dourados, MS")</f>
        <v>Dourados, MS</v>
      </c>
      <c r="D471" s="24" t="str">
        <f>IFERROR(__xludf.DUMMYFUNCTION("""COMPUTED_VALUE"""),"Ed. da UFGD")</f>
        <v>Ed. da UFGD</v>
      </c>
      <c r="E471" s="25">
        <f>IFERROR(__xludf.DUMMYFUNCTION("""COMPUTED_VALUE"""),2017.0)</f>
        <v>2017</v>
      </c>
      <c r="F471" s="24" t="str">
        <f>IFERROR(__xludf.DUMMYFUNCTION("""COMPUTED_VALUE"""),"Fronteiras; Ponta Porã; Pedro Juan Caballero")</f>
        <v>Fronteiras; Ponta Porã; Pedro Juan Caballero</v>
      </c>
      <c r="G471" s="28" t="str">
        <f>IFERROR(__xludf.DUMMYFUNCTION("""COMPUTED_VALUE"""),"9788581470689")</f>
        <v>9788581470689</v>
      </c>
      <c r="H471" s="29" t="str">
        <f>IFERROR(__xludf.DUMMYFUNCTION("""COMPUTED_VALUE"""),"http://omp.ufgd.edu.br/omp/index.php/livrosabertos/catalog/view/221/131/411-1")</f>
        <v>http://omp.ufgd.edu.br/omp/index.php/livrosabertos/catalog/view/221/131/411-1</v>
      </c>
      <c r="I471" s="24" t="str">
        <f>IFERROR(__xludf.DUMMYFUNCTION("""COMPUTED_VALUE"""),"Ciências Humanas")</f>
        <v>Ciências Humanas</v>
      </c>
    </row>
    <row r="472">
      <c r="A472" s="24" t="str">
        <f>IFERROR(__xludf.DUMMYFUNCTION("""COMPUTED_VALUE"""),"Funções reais de uma variável real: um curso EAD para licenciatura")</f>
        <v>Funções reais de uma variável real: um curso EAD para licenciatura</v>
      </c>
      <c r="B472" s="24" t="str">
        <f>IFERROR(__xludf.DUMMYFUNCTION("""COMPUTED_VALUE"""),"Silva, Rodrigo Sychocki da")</f>
        <v>Silva, Rodrigo Sychocki da</v>
      </c>
      <c r="C472" s="24" t="str">
        <f>IFERROR(__xludf.DUMMYFUNCTION("""COMPUTED_VALUE"""),"Porto Alegre")</f>
        <v>Porto Alegre</v>
      </c>
      <c r="D472" s="24" t="str">
        <f>IFERROR(__xludf.DUMMYFUNCTION("""COMPUTED_VALUE"""),"UFRGS")</f>
        <v>UFRGS</v>
      </c>
      <c r="E472" s="25">
        <f>IFERROR(__xludf.DUMMYFUNCTION("""COMPUTED_VALUE"""),2019.0)</f>
        <v>2019</v>
      </c>
      <c r="F472" s="24" t="str">
        <f>IFERROR(__xludf.DUMMYFUNCTION("""COMPUTED_VALUE"""),"Educação a distância; Ensino e aprendizagem; Funcoes reais")</f>
        <v>Educação a distância; Ensino e aprendizagem; Funcoes reais</v>
      </c>
      <c r="G472" s="28" t="str">
        <f>IFERROR(__xludf.DUMMYFUNCTION("""COMPUTED_VALUE"""),"9788538604815 (pdf) 9788538604822 (epub)")</f>
        <v>9788538604815 (pdf) 9788538604822 (epub)</v>
      </c>
      <c r="H472" s="29" t="str">
        <f>IFERROR(__xludf.DUMMYFUNCTION("""COMPUTED_VALUE"""),"http://hdl.handle.net/10183/199720")</f>
        <v>http://hdl.handle.net/10183/199720</v>
      </c>
      <c r="I472" s="24" t="str">
        <f>IFERROR(__xludf.DUMMYFUNCTION("""COMPUTED_VALUE"""),"Ciências Humanas")</f>
        <v>Ciências Humanas</v>
      </c>
    </row>
    <row r="473">
      <c r="A473" s="24" t="str">
        <f>IFERROR(__xludf.DUMMYFUNCTION("""COMPUTED_VALUE"""),"Garantia do direito à educação: monitorando o PNE - Lei nº 13.005/2014")</f>
        <v>Garantia do direito à educação: monitorando o PNE - Lei nº 13.005/2014</v>
      </c>
      <c r="B473" s="24" t="str">
        <f>IFERROR(__xludf.DUMMYFUNCTION("""COMPUTED_VALUE"""),"Ogiba, Sônia Mara Moreira ")</f>
        <v>Ogiba, Sônia Mara Moreira </v>
      </c>
      <c r="C473" s="24" t="str">
        <f>IFERROR(__xludf.DUMMYFUNCTION("""COMPUTED_VALUE"""),"Porto Alegre")</f>
        <v>Porto Alegre</v>
      </c>
      <c r="D473" s="24" t="str">
        <f>IFERROR(__xludf.DUMMYFUNCTION("""COMPUTED_VALUE"""),"UFRGS")</f>
        <v>UFRGS</v>
      </c>
      <c r="E473" s="25">
        <f>IFERROR(__xludf.DUMMYFUNCTION("""COMPUTED_VALUE"""),2018.0)</f>
        <v>2018</v>
      </c>
      <c r="F473" s="24" t="str">
        <f>IFERROR(__xludf.DUMMYFUNCTION("""COMPUTED_VALUE"""),"Direito à educação; Financiamento da educação; Plano nacional de educação : Brasil; Política educacional; Políticas públicas : Educação")</f>
        <v>Direito à educação; Financiamento da educação; Plano nacional de educação : Brasil; Política educacional; Políticas públicas : Educação</v>
      </c>
      <c r="G473" s="28" t="str">
        <f>IFERROR(__xludf.DUMMYFUNCTION("""COMPUTED_VALUE"""),"9788538604273")</f>
        <v>9788538604273</v>
      </c>
      <c r="H473" s="29" t="str">
        <f>IFERROR(__xludf.DUMMYFUNCTION("""COMPUTED_VALUE"""),"http://hdl.handle.net/10183/182257")</f>
        <v>http://hdl.handle.net/10183/182257</v>
      </c>
      <c r="I473" s="24" t="str">
        <f>IFERROR(__xludf.DUMMYFUNCTION("""COMPUTED_VALUE"""),"Ciências Humanas")</f>
        <v>Ciências Humanas</v>
      </c>
    </row>
    <row r="474">
      <c r="A474" s="24" t="str">
        <f>IFERROR(__xludf.DUMMYFUNCTION("""COMPUTED_VALUE"""),"Gênero e racismo: múltiplos olhares")</f>
        <v>Gênero e racismo: múltiplos olhares</v>
      </c>
      <c r="B474" s="24" t="str">
        <f>IFERROR(__xludf.DUMMYFUNCTION("""COMPUTED_VALUE"""),"Maria Beatriz Nader, (org.)")</f>
        <v>Maria Beatriz Nader, (org.)</v>
      </c>
      <c r="C474" s="24" t="str">
        <f>IFERROR(__xludf.DUMMYFUNCTION("""COMPUTED_VALUE"""),"Vitória")</f>
        <v>Vitória</v>
      </c>
      <c r="D474" s="24" t="str">
        <f>IFERROR(__xludf.DUMMYFUNCTION("""COMPUTED_VALUE"""),"EDUFES")</f>
        <v>EDUFES</v>
      </c>
      <c r="E474" s="25">
        <f>IFERROR(__xludf.DUMMYFUNCTION("""COMPUTED_VALUE"""),2014.0)</f>
        <v>2014</v>
      </c>
      <c r="F474" s="24" t="str">
        <f>IFERROR(__xludf.DUMMYFUNCTION("""COMPUTED_VALUE"""),"Identidade de gênero; Relações de gênero; Feminismo; Violência contra as mulheres; Racismo")</f>
        <v>Identidade de gênero; Relações de gênero; Feminismo; Violência contra as mulheres; Racismo</v>
      </c>
      <c r="G474" s="28" t="str">
        <f>IFERROR(__xludf.DUMMYFUNCTION("""COMPUTED_VALUE"""),"9788577722419")</f>
        <v>9788577722419</v>
      </c>
      <c r="H474" s="29" t="str">
        <f>IFERROR(__xludf.DUMMYFUNCTION("""COMPUTED_VALUE"""),"http://repositorio.ufes.br/handle/10/938")</f>
        <v>http://repositorio.ufes.br/handle/10/938</v>
      </c>
      <c r="I474" s="24" t="str">
        <f>IFERROR(__xludf.DUMMYFUNCTION("""COMPUTED_VALUE"""),"Ciências Humanas")</f>
        <v>Ciências Humanas</v>
      </c>
    </row>
    <row r="475">
      <c r="A475" s="24" t="str">
        <f>IFERROR(__xludf.DUMMYFUNCTION("""COMPUTED_VALUE"""),"Gênero, Educação e Comunicação")</f>
        <v>Gênero, Educação e Comunicação</v>
      </c>
      <c r="B475" s="24" t="str">
        <f>IFERROR(__xludf.DUMMYFUNCTION("""COMPUTED_VALUE"""),"Giselle Nanes, Maria do Rosário F. A. Leitão e Marion T. de Quadros (org.)")</f>
        <v>Giselle Nanes, Maria do Rosário F. A. Leitão e Marion T. de Quadros (org.)</v>
      </c>
      <c r="C475" s="24" t="str">
        <f>IFERROR(__xludf.DUMMYFUNCTION("""COMPUTED_VALUE"""),"Recife")</f>
        <v>Recife</v>
      </c>
      <c r="D475" s="24" t="str">
        <f>IFERROR(__xludf.DUMMYFUNCTION("""COMPUTED_VALUE"""),"Editora Universitária da UFRPE")</f>
        <v>Editora Universitária da UFRPE</v>
      </c>
      <c r="E475" s="25">
        <f>IFERROR(__xludf.DUMMYFUNCTION("""COMPUTED_VALUE"""),2016.0)</f>
        <v>2016</v>
      </c>
      <c r="F475" s="24" t="str">
        <f>IFERROR(__xludf.DUMMYFUNCTION("""COMPUTED_VALUE"""),"Estudos feministas; Identidade de gênero; Mulheres de nível superior; Mulheres na comunicação")</f>
        <v>Estudos feministas; Identidade de gênero; Mulheres de nível superior; Mulheres na comunicação</v>
      </c>
      <c r="G475" s="28" t="str">
        <f>IFERROR(__xludf.DUMMYFUNCTION("""COMPUTED_VALUE"""),"9788541507691")</f>
        <v>9788541507691</v>
      </c>
      <c r="H475" s="29" t="str">
        <f>IFERROR(__xludf.DUMMYFUNCTION("""COMPUTED_VALUE"""),"https://www.dropbox.com/s/xqql87bd4ll31pl/Livro01_Genero_Educacao_e_Comunicacao.pdf?dl=0")</f>
        <v>https://www.dropbox.com/s/xqql87bd4ll31pl/Livro01_Genero_Educacao_e_Comunicacao.pdf?dl=0</v>
      </c>
      <c r="I475" s="24" t="str">
        <f>IFERROR(__xludf.DUMMYFUNCTION("""COMPUTED_VALUE"""),"Ciências Humanas")</f>
        <v>Ciências Humanas</v>
      </c>
    </row>
    <row r="476">
      <c r="A476" s="24" t="str">
        <f>IFERROR(__xludf.DUMMYFUNCTION("""COMPUTED_VALUE"""),"Gênero, Mídia e Lutas Sociais: percepções críticas e experiências emancipadoras*")</f>
        <v>Gênero, Mídia e Lutas Sociais: percepções críticas e experiências emancipadoras*</v>
      </c>
      <c r="B476" s="24" t="str">
        <f>IFERROR(__xludf.DUMMYFUNCTION("""COMPUTED_VALUE"""),"Graziela Bianchi, Karina Janz Woitowicz e Paula Melani Rocha")</f>
        <v>Graziela Bianchi, Karina Janz Woitowicz e Paula Melani Rocha</v>
      </c>
      <c r="C476" s="24" t="str">
        <f>IFERROR(__xludf.DUMMYFUNCTION("""COMPUTED_VALUE"""),"Ponta Grossa")</f>
        <v>Ponta Grossa</v>
      </c>
      <c r="D476" s="24" t="str">
        <f>IFERROR(__xludf.DUMMYFUNCTION("""COMPUTED_VALUE"""),"Editora UEPG")</f>
        <v>Editora UEPG</v>
      </c>
      <c r="E476" s="25">
        <f>IFERROR(__xludf.DUMMYFUNCTION("""COMPUTED_VALUE"""),2018.0)</f>
        <v>2018</v>
      </c>
      <c r="F476" s="24" t="str">
        <f>IFERROR(__xludf.DUMMYFUNCTION("""COMPUTED_VALUE"""),"A obra é resultado de trabalhos desenvolvidos pelo grupo de pesquisa Jornalismo e Gênero (CNPq), em atividade na Universidade Estadual de Ponta Grossa desde 2010, e discussões realizadas durante o 5° Colóquio Mulher e Sociedade, realizado em 2017. O Colóq"&amp;"uio é um evento de pesquisa e extensão que busca promover debates interdisciplinares sobre Gênero, Lutas sociais e Direitos humanos. Este livro está dividido em duas partes: “Olhares de gênero e atuação das mulheres na mídia” e “Enfoques de gênero e direi"&amp;"tos humanos” e contempla a diversidade de abordagens e perspectivas teóricas. São temas importantes no reconhecimento de questões que estão presentes no tecido social e que necessitam visibilidade na esfera pública")</f>
        <v>A obra é resultado de trabalhos desenvolvidos pelo grupo de pesquisa Jornalismo e Gênero (CNPq), em atividade na Universidade Estadual de Ponta Grossa desde 2010, e discussões realizadas durante o 5° Colóquio Mulher e Sociedade, realizado em 2017. O Colóquio é um evento de pesquisa e extensão que busca promover debates interdisciplinares sobre Gênero, Lutas sociais e Direitos humanos. Este livro está dividido em duas partes: “Olhares de gênero e atuação das mulheres na mídia” e “Enfoques de gênero e direitos humanos” e contempla a diversidade de abordagens e perspectivas teóricas. São temas importantes no reconhecimento de questões que estão presentes no tecido social e que necessitam visibilidade na esfera pública</v>
      </c>
      <c r="G476" s="28" t="str">
        <f>IFERROR(__xludf.DUMMYFUNCTION("""COMPUTED_VALUE"""),"987857982387")</f>
        <v>987857982387</v>
      </c>
      <c r="H476" s="29" t="str">
        <f>IFERROR(__xludf.DUMMYFUNCTION("""COMPUTED_VALUE"""),"https://portal-archipelagus.azurewebsites.net/farol/eduepg/ebook/genero-midia-e-lutas-sociais-percepcoes-criticas-e-experiencias-emancipadoras/535880/")</f>
        <v>https://portal-archipelagus.azurewebsites.net/farol/eduepg/ebook/genero-midia-e-lutas-sociais-percepcoes-criticas-e-experiencias-emancipadoras/535880/</v>
      </c>
      <c r="I476" s="24" t="str">
        <f>IFERROR(__xludf.DUMMYFUNCTION("""COMPUTED_VALUE"""),"Ciências Humanas")</f>
        <v>Ciências Humanas</v>
      </c>
    </row>
    <row r="477">
      <c r="A477" s="24" t="str">
        <f>IFERROR(__xludf.DUMMYFUNCTION("""COMPUTED_VALUE"""),"Geofilosofia e geopolítica em mil platôs")</f>
        <v>Geofilosofia e geopolítica em mil platôs</v>
      </c>
      <c r="B477" s="24" t="str">
        <f>IFERROR(__xludf.DUMMYFUNCTION("""COMPUTED_VALUE"""),"Cláudio Luiz Zanotelli")</f>
        <v>Cláudio Luiz Zanotelli</v>
      </c>
      <c r="C477" s="24" t="str">
        <f>IFERROR(__xludf.DUMMYFUNCTION("""COMPUTED_VALUE"""),"Vitória")</f>
        <v>Vitória</v>
      </c>
      <c r="D477" s="24" t="str">
        <f>IFERROR(__xludf.DUMMYFUNCTION("""COMPUTED_VALUE"""),"EDUFES")</f>
        <v>EDUFES</v>
      </c>
      <c r="E477" s="25">
        <f>IFERROR(__xludf.DUMMYFUNCTION("""COMPUTED_VALUE"""),2014.0)</f>
        <v>2014</v>
      </c>
      <c r="F477" s="24" t="str">
        <f>IFERROR(__xludf.DUMMYFUNCTION("""COMPUTED_VALUE"""),"Geopolítica; Geografia; Filosofia; Deleuze; Guattari")</f>
        <v>Geopolítica; Geografia; Filosofia; Deleuze; Guattari</v>
      </c>
      <c r="G477" s="28" t="str">
        <f>IFERROR(__xludf.DUMMYFUNCTION("""COMPUTED_VALUE"""),"9788577722051")</f>
        <v>9788577722051</v>
      </c>
      <c r="H477" s="29" t="str">
        <f>IFERROR(__xludf.DUMMYFUNCTION("""COMPUTED_VALUE"""),"http://repositorio.ufes.br/bitstream/10/1414/1/Geofilosofia%20e%20geopol%C3%ADtica%20em%20Mil%20Platos.pdf")</f>
        <v>http://repositorio.ufes.br/bitstream/10/1414/1/Geofilosofia%20e%20geopol%C3%ADtica%20em%20Mil%20Platos.pdf</v>
      </c>
      <c r="I477" s="24" t="str">
        <f>IFERROR(__xludf.DUMMYFUNCTION("""COMPUTED_VALUE"""),"Ciências Humanas")</f>
        <v>Ciências Humanas</v>
      </c>
    </row>
    <row r="478">
      <c r="A478" s="24" t="str">
        <f>IFERROR(__xludf.DUMMYFUNCTION("""COMPUTED_VALUE"""),"Geografia do Amapá em perspectiva ")</f>
        <v>Geografia do Amapá em perspectiva </v>
      </c>
      <c r="B478" s="24" t="str">
        <f>IFERROR(__xludf.DUMMYFUNCTION("""COMPUTED_VALUE"""),"Daguinete Maria Chaves Brito; Valter Gama de Avelar (org.) ")</f>
        <v>Daguinete Maria Chaves Brito; Valter Gama de Avelar (org.) </v>
      </c>
      <c r="C478" s="24" t="str">
        <f>IFERROR(__xludf.DUMMYFUNCTION("""COMPUTED_VALUE"""),"Macapá")</f>
        <v>Macapá</v>
      </c>
      <c r="D478" s="24" t="str">
        <f>IFERROR(__xludf.DUMMYFUNCTION("""COMPUTED_VALUE"""),"UNIFAP")</f>
        <v>UNIFAP</v>
      </c>
      <c r="E478" s="25">
        <f>IFERROR(__xludf.DUMMYFUNCTION("""COMPUTED_VALUE"""),2017.0)</f>
        <v>2017</v>
      </c>
      <c r="F478" s="24" t="str">
        <f>IFERROR(__xludf.DUMMYFUNCTION("""COMPUTED_VALUE"""),"Geografia; Espaço Amapaense; Comunidades Tradicionais; Ensino de Geografia; Geomorfologia")</f>
        <v>Geografia; Espaço Amapaense; Comunidades Tradicionais; Ensino de Geografia; Geomorfologia</v>
      </c>
      <c r="G478" s="28" t="str">
        <f>IFERROR(__xludf.DUMMYFUNCTION("""COMPUTED_VALUE"""),"9788562359996")</f>
        <v>9788562359996</v>
      </c>
      <c r="H478" s="29" t="str">
        <f>IFERROR(__xludf.DUMMYFUNCTION("""COMPUTED_VALUE"""),"https://www2.unifap.br/editora/files/2014/12/Livro-Geografia-do-Amap%c3%a1-em-Perspectiva.pdf")</f>
        <v>https://www2.unifap.br/editora/files/2014/12/Livro-Geografia-do-Amap%c3%a1-em-Perspectiva.pdf</v>
      </c>
      <c r="I478" s="24" t="str">
        <f>IFERROR(__xludf.DUMMYFUNCTION("""COMPUTED_VALUE"""),"Ciências Humanas")</f>
        <v>Ciências Humanas</v>
      </c>
    </row>
    <row r="479">
      <c r="A479" s="24" t="str">
        <f>IFERROR(__xludf.DUMMYFUNCTION("""COMPUTED_VALUE"""),"Geografia do voto nas eleições para prefeito e presidente nas cidades do Rio de Janeiro e São Paulo: 1996-2010")</f>
        <v>Geografia do voto nas eleições para prefeito e presidente nas cidades do Rio de Janeiro e São Paulo: 1996-2010</v>
      </c>
      <c r="B479" s="24" t="str">
        <f>IFERROR(__xludf.DUMMYFUNCTION("""COMPUTED_VALUE"""),"Cesar Romero Jacob; Dora Rodrigues Hees; Philippe Waniez; Violette Brustlein")</f>
        <v>Cesar Romero Jacob; Dora Rodrigues Hees; Philippe Waniez; Violette Brustlein</v>
      </c>
      <c r="C479" s="24" t="str">
        <f>IFERROR(__xludf.DUMMYFUNCTION("""COMPUTED_VALUE"""),"Rio de Janeiro")</f>
        <v>Rio de Janeiro</v>
      </c>
      <c r="D479" s="24" t="str">
        <f>IFERROR(__xludf.DUMMYFUNCTION("""COMPUTED_VALUE"""),"Editora PUC Rio")</f>
        <v>Editora PUC Rio</v>
      </c>
      <c r="E479" s="25">
        <f>IFERROR(__xludf.DUMMYFUNCTION("""COMPUTED_VALUE"""),2012.0)</f>
        <v>2012</v>
      </c>
      <c r="F479" s="24" t="str">
        <f>IFERROR(__xludf.DUMMYFUNCTION("""COMPUTED_VALUE"""),"Geografia do voto. Eleições Rio de Janeiro -São Paulo")</f>
        <v>Geografia do voto. Eleições Rio de Janeiro -São Paulo</v>
      </c>
      <c r="G479" s="28" t="str">
        <f>IFERROR(__xludf.DUMMYFUNCTION("""COMPUTED_VALUE"""),"9788580060713")</f>
        <v>9788580060713</v>
      </c>
      <c r="H479" s="29" t="str">
        <f>IFERROR(__xludf.DUMMYFUNCTION("""COMPUTED_VALUE"""),"http://www.editora.puc-rio.br/media/Ebook_Geografia_do_voto_Rio_SaoPaulo_final.pdf")</f>
        <v>http://www.editora.puc-rio.br/media/Ebook_Geografia_do_voto_Rio_SaoPaulo_final.pdf</v>
      </c>
      <c r="I479" s="24" t="str">
        <f>IFERROR(__xludf.DUMMYFUNCTION("""COMPUTED_VALUE"""),"Ciências Humanas")</f>
        <v>Ciências Humanas</v>
      </c>
    </row>
    <row r="480">
      <c r="A480" s="24" t="str">
        <f>IFERROR(__xludf.DUMMYFUNCTION("""COMPUTED_VALUE"""),"Geografia e economia: relações e interfaces")</f>
        <v>Geografia e economia: relações e interfaces</v>
      </c>
      <c r="B480" s="24" t="str">
        <f>IFERROR(__xludf.DUMMYFUNCTION("""COMPUTED_VALUE"""),"Paulo Fernando Jurado da Silva, Eliseu Savério Sposito, Mateus; Ubirajara Silva Santana, organizadores.")</f>
        <v>Paulo Fernando Jurado da Silva, Eliseu Savério Sposito, Mateus; Ubirajara Silva Santana, organizadores.</v>
      </c>
      <c r="C480" s="24" t="str">
        <f>IFERROR(__xludf.DUMMYFUNCTION("""COMPUTED_VALUE"""),"Dourados, MS")</f>
        <v>Dourados, MS</v>
      </c>
      <c r="D480" s="24" t="str">
        <f>IFERROR(__xludf.DUMMYFUNCTION("""COMPUTED_VALUE"""),"Editora UEMS")</f>
        <v>Editora UEMS</v>
      </c>
      <c r="E480" s="25">
        <f>IFERROR(__xludf.DUMMYFUNCTION("""COMPUTED_VALUE"""),2020.0)</f>
        <v>2020</v>
      </c>
      <c r="F480" s="24" t="str">
        <f>IFERROR(__xludf.DUMMYFUNCTION("""COMPUTED_VALUE"""),"Geografia econômica; Geografia e economia; Desenvolvimento econômico ")</f>
        <v>Geografia econômica; Geografia e economia; Desenvolvimento econômico </v>
      </c>
      <c r="G480" s="28" t="str">
        <f>IFERROR(__xludf.DUMMYFUNCTION("""COMPUTED_VALUE"""),"9788592863074")</f>
        <v>9788592863074</v>
      </c>
      <c r="H480" s="29" t="str">
        <f>IFERROR(__xludf.DUMMYFUNCTION("""COMPUTED_VALUE"""),"http://www.uems.br/assets/uploads/editora/arquivos/1_2020-03-03_10-18-49.pdf")</f>
        <v>http://www.uems.br/assets/uploads/editora/arquivos/1_2020-03-03_10-18-49.pdf</v>
      </c>
      <c r="I480" s="24" t="str">
        <f>IFERROR(__xludf.DUMMYFUNCTION("""COMPUTED_VALUE"""),"Ciências Humanas")</f>
        <v>Ciências Humanas</v>
      </c>
    </row>
    <row r="481">
      <c r="A481" s="24" t="str">
        <f>IFERROR(__xludf.DUMMYFUNCTION("""COMPUTED_VALUE"""),"Geografia e ensino: dimensões teóricas e práticas para a sala de aula")</f>
        <v>Geografia e ensino: dimensões teóricas e práticas para a sala de aula</v>
      </c>
      <c r="B481" s="24" t="str">
        <f>IFERROR(__xludf.DUMMYFUNCTION("""COMPUTED_VALUE"""),"Gilmar Alves Trindade ... (et al.)")</f>
        <v>Gilmar Alves Trindade ... (et al.)</v>
      </c>
      <c r="C481" s="24" t="str">
        <f>IFERROR(__xludf.DUMMYFUNCTION("""COMPUTED_VALUE"""),"Ilhéus, BA")</f>
        <v>Ilhéus, BA</v>
      </c>
      <c r="D481" s="24" t="str">
        <f>IFERROR(__xludf.DUMMYFUNCTION("""COMPUTED_VALUE"""),"Editus")</f>
        <v>Editus</v>
      </c>
      <c r="E481" s="25">
        <f>IFERROR(__xludf.DUMMYFUNCTION("""COMPUTED_VALUE"""),2017.0)</f>
        <v>2017</v>
      </c>
      <c r="F481" s="24" t="str">
        <f>IFERROR(__xludf.DUMMYFUNCTION("""COMPUTED_VALUE"""),"Geografia - Estudo e ensino; Prática de ensino")</f>
        <v>Geografia - Estudo e ensino; Prática de ensino</v>
      </c>
      <c r="G481" s="28" t="str">
        <f>IFERROR(__xludf.DUMMYFUNCTION("""COMPUTED_VALUE"""),"9788574554310")</f>
        <v>9788574554310</v>
      </c>
      <c r="H481" s="29" t="str">
        <f>IFERROR(__xludf.DUMMYFUNCTION("""COMPUTED_VALUE"""),"http://www.uesc.br/editora/livrosdigitais2017/geografia_ensino.pdf")</f>
        <v>http://www.uesc.br/editora/livrosdigitais2017/geografia_ensino.pdf</v>
      </c>
      <c r="I481" s="24" t="str">
        <f>IFERROR(__xludf.DUMMYFUNCTION("""COMPUTED_VALUE"""),"Ciências Humanas")</f>
        <v>Ciências Humanas</v>
      </c>
    </row>
    <row r="482">
      <c r="A482" s="24" t="str">
        <f>IFERROR(__xludf.DUMMYFUNCTION("""COMPUTED_VALUE"""),"Geografia histórica do café no Vale do Rio Paraíba do Sul")</f>
        <v>Geografia histórica do café no Vale do Rio Paraíba do Sul</v>
      </c>
      <c r="B482" s="24" t="str">
        <f>IFERROR(__xludf.DUMMYFUNCTION("""COMPUTED_VALUE"""),"Rogério Ribeiro de Oliveira e Adi Estela Lazos Ruíz; Organizadores")</f>
        <v>Rogério Ribeiro de Oliveira e Adi Estela Lazos Ruíz; Organizadores</v>
      </c>
      <c r="C482" s="24" t="str">
        <f>IFERROR(__xludf.DUMMYFUNCTION("""COMPUTED_VALUE"""),"Rio de Janeiro")</f>
        <v>Rio de Janeiro</v>
      </c>
      <c r="D482" s="24" t="str">
        <f>IFERROR(__xludf.DUMMYFUNCTION("""COMPUTED_VALUE"""),"Editora PUC Rio")</f>
        <v>Editora PUC Rio</v>
      </c>
      <c r="E482" s="25">
        <f>IFERROR(__xludf.DUMMYFUNCTION("""COMPUTED_VALUE"""),2018.0)</f>
        <v>2018</v>
      </c>
      <c r="F482" s="24" t="str">
        <f>IFERROR(__xludf.DUMMYFUNCTION("""COMPUTED_VALUE"""),"Paraíba do Sul, Rio, Vale – Geografia histórica. Café – Paraíba do Sul, Rio, Vale - História. Ecologia humana - Paraíba do Sul, Rio, Vale")</f>
        <v>Paraíba do Sul, Rio, Vale – Geografia histórica. Café – Paraíba do Sul, Rio, Vale - História. Ecologia humana - Paraíba do Sul, Rio, Vale</v>
      </c>
      <c r="G482" s="28" t="str">
        <f>IFERROR(__xludf.DUMMYFUNCTION("""COMPUTED_VALUE"""),"9788580062472")</f>
        <v>9788580062472</v>
      </c>
      <c r="H482" s="29" t="str">
        <f>IFERROR(__xludf.DUMMYFUNCTION("""COMPUTED_VALUE"""),"http://www.editora.puc-rio.br/media/geografia%20historica%20do%20cafe%20no%20vale%20do%20rio%20paraiba%20do%20sul.pdf")</f>
        <v>http://www.editora.puc-rio.br/media/geografia%20historica%20do%20cafe%20no%20vale%20do%20rio%20paraiba%20do%20sul.pdf</v>
      </c>
      <c r="I482" s="24" t="str">
        <f>IFERROR(__xludf.DUMMYFUNCTION("""COMPUTED_VALUE"""),"Ciências Humanas")</f>
        <v>Ciências Humanas</v>
      </c>
    </row>
    <row r="483">
      <c r="A483" s="24" t="str">
        <f>IFERROR(__xludf.DUMMYFUNCTION("""COMPUTED_VALUE"""),"Geografia, pesquisa e ensino: abordagens teórico-práticas na interface entre saberes acadêmicos e saberes escolares")</f>
        <v>Geografia, pesquisa e ensino: abordagens teórico-práticas na interface entre saberes acadêmicos e saberes escolares</v>
      </c>
      <c r="B483" s="24" t="str">
        <f>IFERROR(__xludf.DUMMYFUNCTION("""COMPUTED_VALUE"""),"Clêane Oliveira dos Santos...(et al.); Organizador Gilmar Alves Trindade")</f>
        <v>Clêane Oliveira dos Santos...(et al.); Organizador Gilmar Alves Trindade</v>
      </c>
      <c r="C483" s="24" t="str">
        <f>IFERROR(__xludf.DUMMYFUNCTION("""COMPUTED_VALUE"""),"Ilhéus, BA")</f>
        <v>Ilhéus, BA</v>
      </c>
      <c r="D483" s="24" t="str">
        <f>IFERROR(__xludf.DUMMYFUNCTION("""COMPUTED_VALUE"""),"Editus")</f>
        <v>Editus</v>
      </c>
      <c r="E483" s="25">
        <f>IFERROR(__xludf.DUMMYFUNCTION("""COMPUTED_VALUE"""),2015.0)</f>
        <v>2015</v>
      </c>
      <c r="F483" s="24" t="str">
        <f>IFERROR(__xludf.DUMMYFUNCTION("""COMPUTED_VALUE"""),"Geografia – Estudo e ensino; Conceitos de região e território")</f>
        <v>Geografia – Estudo e ensino; Conceitos de região e território</v>
      </c>
      <c r="G483" s="28" t="str">
        <f>IFERROR(__xludf.DUMMYFUNCTION("""COMPUTED_VALUE"""),"9788574553849")</f>
        <v>9788574553849</v>
      </c>
      <c r="H483" s="29" t="str">
        <f>IFERROR(__xludf.DUMMYFUNCTION("""COMPUTED_VALUE"""),"http://www.uesc.br/editora/livrosdigitais2017/geografia_pesquisa_ensino.pdf")</f>
        <v>http://www.uesc.br/editora/livrosdigitais2017/geografia_pesquisa_ensino.pdf</v>
      </c>
      <c r="I483" s="24" t="str">
        <f>IFERROR(__xludf.DUMMYFUNCTION("""COMPUTED_VALUE"""),"Ciências Humanas")</f>
        <v>Ciências Humanas</v>
      </c>
    </row>
    <row r="484">
      <c r="A484" s="24" t="str">
        <f>IFERROR(__xludf.DUMMYFUNCTION("""COMPUTED_VALUE"""),"Geografia: reflexões e práticas")</f>
        <v>Geografia: reflexões e práticas</v>
      </c>
      <c r="B484" s="24" t="str">
        <f>IFERROR(__xludf.DUMMYFUNCTION("""COMPUTED_VALUE"""),"Gisele Ramos Onofre; Ana Paula Colavite (org.)")</f>
        <v>Gisele Ramos Onofre; Ana Paula Colavite (org.)</v>
      </c>
      <c r="C484" s="24" t="str">
        <f>IFERROR(__xludf.DUMMYFUNCTION("""COMPUTED_VALUE"""),"Campo Mourão, PR")</f>
        <v>Campo Mourão, PR</v>
      </c>
      <c r="D484" s="24" t="str">
        <f>IFERROR(__xludf.DUMMYFUNCTION("""COMPUTED_VALUE"""),"Editora Fecilcam")</f>
        <v>Editora Fecilcam</v>
      </c>
      <c r="E484" s="25">
        <f>IFERROR(__xludf.DUMMYFUNCTION("""COMPUTED_VALUE"""),2019.0)</f>
        <v>2019</v>
      </c>
      <c r="F484" s="24" t="str">
        <f>IFERROR(__xludf.DUMMYFUNCTION("""COMPUTED_VALUE"""),"Geografia. Estudo e ensino. Prática educacional. Ensino Interdisciplinar")</f>
        <v>Geografia. Estudo e ensino. Prática educacional. Ensino Interdisciplinar</v>
      </c>
      <c r="G484" s="28" t="str">
        <f>IFERROR(__xludf.DUMMYFUNCTION("""COMPUTED_VALUE"""),"9788588753532")</f>
        <v>9788588753532</v>
      </c>
      <c r="H484" s="29" t="str">
        <f>IFERROR(__xludf.DUMMYFUNCTION("""COMPUTED_VALUE"""),"http://campomourao.unespar.edu.br/editora/obras-digitais/geografia-reflexoes-e-praticas")</f>
        <v>http://campomourao.unespar.edu.br/editora/obras-digitais/geografia-reflexoes-e-praticas</v>
      </c>
      <c r="I484" s="24" t="str">
        <f>IFERROR(__xludf.DUMMYFUNCTION("""COMPUTED_VALUE"""),"Ciências Humanas")</f>
        <v>Ciências Humanas</v>
      </c>
    </row>
    <row r="485">
      <c r="A485" s="24" t="str">
        <f>IFERROR(__xludf.DUMMYFUNCTION("""COMPUTED_VALUE"""),"Geografias pátrias: Brasil e Portugal - 1875-1889")</f>
        <v>Geografias pátrias: Brasil e Portugal - 1875-1889</v>
      </c>
      <c r="B485" s="24" t="str">
        <f>IFERROR(__xludf.DUMMYFUNCTION("""COMPUTED_VALUE"""),"Cristina Pessanha Mary ")</f>
        <v>Cristina Pessanha Mary </v>
      </c>
      <c r="C485" s="24" t="str">
        <f>IFERROR(__xludf.DUMMYFUNCTION("""COMPUTED_VALUE"""),"Niterói, RJ")</f>
        <v>Niterói, RJ</v>
      </c>
      <c r="D485" s="24" t="str">
        <f>IFERROR(__xludf.DUMMYFUNCTION("""COMPUTED_VALUE"""),"Editora da UFF")</f>
        <v>Editora da UFF</v>
      </c>
      <c r="E485" s="25">
        <f>IFERROR(__xludf.DUMMYFUNCTION("""COMPUTED_VALUE"""),2010.0)</f>
        <v>2010</v>
      </c>
      <c r="F485" s="24" t="str">
        <f>IFERROR(__xludf.DUMMYFUNCTION("""COMPUTED_VALUE"""),"Geografi a; Portugal e Brasil")</f>
        <v>Geografi a; Portugal e Brasil</v>
      </c>
      <c r="G485" s="28" t="str">
        <f>IFERROR(__xludf.DUMMYFUNCTION("""COMPUTED_VALUE"""),"9788522805334")</f>
        <v>9788522805334</v>
      </c>
      <c r="H485" s="29" t="str">
        <f>IFERROR(__xludf.DUMMYFUNCTION("""COMPUTED_VALUE"""),"http://www.eduff.uff.br/ebooks/Geografias-patrias.pdf")</f>
        <v>http://www.eduff.uff.br/ebooks/Geografias-patrias.pdf</v>
      </c>
      <c r="I485" s="24" t="str">
        <f>IFERROR(__xludf.DUMMYFUNCTION("""COMPUTED_VALUE"""),"Ciências Humanas")</f>
        <v>Ciências Humanas</v>
      </c>
    </row>
    <row r="486">
      <c r="A486" s="24" t="str">
        <f>IFERROR(__xludf.DUMMYFUNCTION("""COMPUTED_VALUE"""),"Geograia e natureza: experiências e abordagensde pesquisa")</f>
        <v>Geograia e natureza: experiências e abordagensde pesquisa</v>
      </c>
      <c r="B486" s="24" t="str">
        <f>IFERROR(__xludf.DUMMYFUNCTION("""COMPUTED_VALUE"""),"Charlei Aparecido da Silva (org.)")</f>
        <v>Charlei Aparecido da Silva (org.)</v>
      </c>
      <c r="C486" s="24" t="str">
        <f>IFERROR(__xludf.DUMMYFUNCTION("""COMPUTED_VALUE"""),"Dourados, MS")</f>
        <v>Dourados, MS</v>
      </c>
      <c r="D486" s="24" t="str">
        <f>IFERROR(__xludf.DUMMYFUNCTION("""COMPUTED_VALUE"""),"Ed. da UFGD")</f>
        <v>Ed. da UFGD</v>
      </c>
      <c r="E486" s="25">
        <f>IFERROR(__xludf.DUMMYFUNCTION("""COMPUTED_VALUE"""),2012.0)</f>
        <v>2012</v>
      </c>
      <c r="F486" s="24" t="str">
        <f>IFERROR(__xludf.DUMMYFUNCTION("""COMPUTED_VALUE"""),"Geograia – Brasil; Ocupação territorial; Geógrafo")</f>
        <v>Geograia – Brasil; Ocupação territorial; Geógrafo</v>
      </c>
      <c r="G486" s="28" t="str">
        <f>IFERROR(__xludf.DUMMYFUNCTION("""COMPUTED_VALUE"""),"9788581470078")</f>
        <v>9788581470078</v>
      </c>
      <c r="H486" s="29" t="str">
        <f>IFERROR(__xludf.DUMMYFUNCTION("""COMPUTED_VALUE"""),"http://omp.ufgd.edu.br/omp/index.php/livrosabertos/catalog/view/111/227/508-1")</f>
        <v>http://omp.ufgd.edu.br/omp/index.php/livrosabertos/catalog/view/111/227/508-1</v>
      </c>
      <c r="I486" s="24" t="str">
        <f>IFERROR(__xludf.DUMMYFUNCTION("""COMPUTED_VALUE"""),"Ciências Humanas")</f>
        <v>Ciências Humanas</v>
      </c>
    </row>
    <row r="487">
      <c r="A487" s="24" t="str">
        <f>IFERROR(__xludf.DUMMYFUNCTION("""COMPUTED_VALUE"""),"Gestão do Ensino de Graduação: acesso, permanência e êxito - Práticas estratégicas no acompanhamento da formação discente")</f>
        <v>Gestão do Ensino de Graduação: acesso, permanência e êxito - Práticas estratégicas no acompanhamento da formação discente</v>
      </c>
      <c r="B487" s="24" t="str">
        <f>IFERROR(__xludf.DUMMYFUNCTION("""COMPUTED_VALUE"""),"Leida Cagário de Oliveira, Cassiano Caon de Amorim. ")</f>
        <v>Leida Cagário de Oliveira, Cassiano Caon de Amorim. </v>
      </c>
      <c r="C487" s="24" t="str">
        <f>IFERROR(__xludf.DUMMYFUNCTION("""COMPUTED_VALUE"""),"João Pessoa")</f>
        <v>João Pessoa</v>
      </c>
      <c r="D487" s="24" t="str">
        <f>IFERROR(__xludf.DUMMYFUNCTION("""COMPUTED_VALUE"""),"Editora da UFPB")</f>
        <v>Editora da UFPB</v>
      </c>
      <c r="E487" s="25">
        <f>IFERROR(__xludf.DUMMYFUNCTION("""COMPUTED_VALUE"""),2019.0)</f>
        <v>2019</v>
      </c>
      <c r="F487" s="24" t="str">
        <f>IFERROR(__xludf.DUMMYFUNCTION("""COMPUTED_VALUE"""),"Educação superior; Formação discente")</f>
        <v>Educação superior; Formação discente</v>
      </c>
      <c r="G487" s="28" t="str">
        <f>IFERROR(__xludf.DUMMYFUNCTION("""COMPUTED_VALUE"""),"9888523713478")</f>
        <v>9888523713478</v>
      </c>
      <c r="H487" s="29" t="str">
        <f>IFERROR(__xludf.DUMMYFUNCTION("""COMPUTED_VALUE"""),"http://www.editora.ufpb.br/sistema/press5/index.php/UFPB/catalog/book/122")</f>
        <v>http://www.editora.ufpb.br/sistema/press5/index.php/UFPB/catalog/book/122</v>
      </c>
      <c r="I487" s="24" t="str">
        <f>IFERROR(__xludf.DUMMYFUNCTION("""COMPUTED_VALUE"""),"Ciências Humanas")</f>
        <v>Ciências Humanas</v>
      </c>
    </row>
    <row r="488">
      <c r="A488" s="24" t="str">
        <f>IFERROR(__xludf.DUMMYFUNCTION("""COMPUTED_VALUE"""),"Gesto, palavra e memória: performances de contadores de ""causos""")</f>
        <v>Gesto, palavra e memória: performances de contadores de "causos"</v>
      </c>
      <c r="B488" s="24" t="str">
        <f>IFERROR(__xludf.DUMMYFUNCTION("""COMPUTED_VALUE"""),"Hartmann, Luciana")</f>
        <v>Hartmann, Luciana</v>
      </c>
      <c r="C488" s="24" t="str">
        <f>IFERROR(__xludf.DUMMYFUNCTION("""COMPUTED_VALUE"""),"Florianópolis")</f>
        <v>Florianópolis</v>
      </c>
      <c r="D488" s="24" t="str">
        <f>IFERROR(__xludf.DUMMYFUNCTION("""COMPUTED_VALUE"""),"Editora da UFSC")</f>
        <v>Editora da UFSC</v>
      </c>
      <c r="E488" s="25">
        <f>IFERROR(__xludf.DUMMYFUNCTION("""COMPUTED_VALUE"""),2011.0)</f>
        <v>2011</v>
      </c>
      <c r="F488" s="24" t="str">
        <f>IFERROR(__xludf.DUMMYFUNCTION("""COMPUTED_VALUE"""),"Antropologia social;Tradição oral;Contadores de histórias")</f>
        <v>Antropologia social;Tradição oral;Contadores de histórias</v>
      </c>
      <c r="G488" s="28" t="str">
        <f>IFERROR(__xludf.DUMMYFUNCTION("""COMPUTED_VALUE"""),"9788532805461")</f>
        <v>9788532805461</v>
      </c>
      <c r="H488" s="29" t="str">
        <f>IFERROR(__xludf.DUMMYFUNCTION("""COMPUTED_VALUE"""),"https://repositorio.ufsc.br/handle/123456789/187615")</f>
        <v>https://repositorio.ufsc.br/handle/123456789/187615</v>
      </c>
      <c r="I488" s="24" t="str">
        <f>IFERROR(__xludf.DUMMYFUNCTION("""COMPUTED_VALUE"""),"Ciências Humanas")</f>
        <v>Ciências Humanas</v>
      </c>
    </row>
    <row r="489">
      <c r="A489" s="24" t="str">
        <f>IFERROR(__xludf.DUMMYFUNCTION("""COMPUTED_VALUE"""),"Gilberto Freyre e José Lins do Rego: Diálogos do senhor da casa grande com o menino de engenho")</f>
        <v>Gilberto Freyre e José Lins do Rego: Diálogos do senhor da casa grande com o menino de engenho</v>
      </c>
      <c r="B489" s="24" t="str">
        <f>IFERROR(__xludf.DUMMYFUNCTION("""COMPUTED_VALUE"""),"Cauby Dantas")</f>
        <v>Cauby Dantas</v>
      </c>
      <c r="C489" s="24" t="str">
        <f>IFERROR(__xludf.DUMMYFUNCTION("""COMPUTED_VALUE"""),"Campina Grande")</f>
        <v>Campina Grande</v>
      </c>
      <c r="D489" s="24" t="str">
        <f>IFERROR(__xludf.DUMMYFUNCTION("""COMPUTED_VALUE"""),"EDUEPB")</f>
        <v>EDUEPB</v>
      </c>
      <c r="E489" s="25">
        <f>IFERROR(__xludf.DUMMYFUNCTION("""COMPUTED_VALUE"""),2015.0)</f>
        <v>2015</v>
      </c>
      <c r="F489" s="24" t="str">
        <f>IFERROR(__xludf.DUMMYFUNCTION("""COMPUTED_VALUE"""),"História. Sociologia. Literatura regionalista. José Lins do Rego. Gilberto Freyre. Senhor de engenho. Sociedade patriarcal nordestina ")</f>
        <v>História. Sociologia. Literatura regionalista. José Lins do Rego. Gilberto Freyre. Senhor de engenho. Sociedade patriarcal nordestina </v>
      </c>
      <c r="G489" s="28" t="str">
        <f>IFERROR(__xludf.DUMMYFUNCTION("""COMPUTED_VALUE"""),"9788578792480")</f>
        <v>9788578792480</v>
      </c>
      <c r="H489" s="29" t="str">
        <f>IFERROR(__xludf.DUMMYFUNCTION("""COMPUTED_VALUE"""),"http://eduepb.uepb.edu.br/download/gilberto-freyre-e-jose-lins-do-rego-dialogos-do-senhor-da-casa-grande-com-o-menino-de-engenho/?wpdmdl=186&amp;amp;masterkey=5af99b4d3cc50")</f>
        <v>http://eduepb.uepb.edu.br/download/gilberto-freyre-e-jose-lins-do-rego-dialogos-do-senhor-da-casa-grande-com-o-menino-de-engenho/?wpdmdl=186&amp;amp;masterkey=5af99b4d3cc50</v>
      </c>
      <c r="I489" s="24" t="str">
        <f>IFERROR(__xludf.DUMMYFUNCTION("""COMPUTED_VALUE"""),"Ciências Humanas")</f>
        <v>Ciências Humanas</v>
      </c>
    </row>
    <row r="490">
      <c r="A490" s="24" t="str">
        <f>IFERROR(__xludf.DUMMYFUNCTION("""COMPUTED_VALUE"""),"Giramundos: a educação ambiental no mito e o mito na educação ambiental")</f>
        <v>Giramundos: a educação ambiental no mito e o mito na educação ambiental</v>
      </c>
      <c r="B490" s="24" t="str">
        <f>IFERROR(__xludf.DUMMYFUNCTION("""COMPUTED_VALUE"""),"Katia Gonçalves Castor")</f>
        <v>Katia Gonçalves Castor</v>
      </c>
      <c r="C490" s="24" t="str">
        <f>IFERROR(__xludf.DUMMYFUNCTION("""COMPUTED_VALUE"""),"Vitória")</f>
        <v>Vitória</v>
      </c>
      <c r="D490" s="24" t="str">
        <f>IFERROR(__xludf.DUMMYFUNCTION("""COMPUTED_VALUE"""),"EDUFES")</f>
        <v>EDUFES</v>
      </c>
      <c r="E490" s="25">
        <f>IFERROR(__xludf.DUMMYFUNCTION("""COMPUTED_VALUE"""),2018.0)</f>
        <v>2018</v>
      </c>
      <c r="F490" s="24" t="str">
        <f>IFERROR(__xludf.DUMMYFUNCTION("""COMPUTED_VALUE"""),"Educação ambiental; Narrativas pessoais; Cultura afro-brasileira; Natureza; Orixás")</f>
        <v>Educação ambiental; Narrativas pessoais; Cultura afro-brasileira; Natureza; Orixás</v>
      </c>
      <c r="G490" s="28" t="str">
        <f>IFERROR(__xludf.DUMMYFUNCTION("""COMPUTED_VALUE"""),"9788577723690")</f>
        <v>9788577723690</v>
      </c>
      <c r="H490" s="29" t="str">
        <f>IFERROR(__xludf.DUMMYFUNCTION("""COMPUTED_VALUE"""),"http://repositorio.ufes.br/bitstream/10/6982/1/Livro%20digital_Giramundos.pdf")</f>
        <v>http://repositorio.ufes.br/bitstream/10/6982/1/Livro%20digital_Giramundos.pdf</v>
      </c>
      <c r="I490" s="24" t="str">
        <f>IFERROR(__xludf.DUMMYFUNCTION("""COMPUTED_VALUE"""),"Ciências Humanas")</f>
        <v>Ciências Humanas</v>
      </c>
    </row>
    <row r="491">
      <c r="A491" s="24" t="str">
        <f>IFERROR(__xludf.DUMMYFUNCTION("""COMPUTED_VALUE"""),"Governo local na fronteira oeste: a rivalidade entre Cuiabá e Vila Bela no século XVIII")</f>
        <v>Governo local na fronteira oeste: a rivalidade entre Cuiabá e Vila Bela no século XVIII</v>
      </c>
      <c r="B491" s="24" t="str">
        <f>IFERROR(__xludf.DUMMYFUNCTION("""COMPUTED_VALUE"""),"Nauk Maria de Jes")</f>
        <v>Nauk Maria de Jes</v>
      </c>
      <c r="C491" s="24" t="str">
        <f>IFERROR(__xludf.DUMMYFUNCTION("""COMPUTED_VALUE"""),"Dourados, MS")</f>
        <v>Dourados, MS</v>
      </c>
      <c r="D491" s="24" t="str">
        <f>IFERROR(__xludf.DUMMYFUNCTION("""COMPUTED_VALUE"""),"Ed. da UFGD")</f>
        <v>Ed. da UFGD</v>
      </c>
      <c r="E491" s="25">
        <f>IFERROR(__xludf.DUMMYFUNCTION("""COMPUTED_VALUE"""),2011.0)</f>
        <v>2011</v>
      </c>
      <c r="F491" s="24" t="str">
        <f>IFERROR(__xludf.DUMMYFUNCTION("""COMPUTED_VALUE"""),"Mato Grosso – História; Capitania de Mato Grosso – Conflitos e alianças")</f>
        <v>Mato Grosso – História; Capitania de Mato Grosso – Conflitos e alianças</v>
      </c>
      <c r="G491" s="28" t="str">
        <f>IFERROR(__xludf.DUMMYFUNCTION("""COMPUTED_VALUE"""),"9788561228965")</f>
        <v>9788561228965</v>
      </c>
      <c r="H491" s="29" t="str">
        <f>IFERROR(__xludf.DUMMYFUNCTION("""COMPUTED_VALUE"""),"http://omp.ufgd.edu.br/omp/index.php/livrosabertos/catalog/view/155/190/471-1")</f>
        <v>http://omp.ufgd.edu.br/omp/index.php/livrosabertos/catalog/view/155/190/471-1</v>
      </c>
      <c r="I491" s="24" t="str">
        <f>IFERROR(__xludf.DUMMYFUNCTION("""COMPUTED_VALUE"""),"Ciências Humanas")</f>
        <v>Ciências Humanas</v>
      </c>
    </row>
    <row r="492">
      <c r="A492" s="24" t="str">
        <f>IFERROR(__xludf.DUMMYFUNCTION("""COMPUTED_VALUE"""),"Grapiunidades: fragmentos postais de um pedaço da Bahia")</f>
        <v>Grapiunidades: fragmentos postais de um pedaço da Bahia</v>
      </c>
      <c r="B492" s="24" t="str">
        <f>IFERROR(__xludf.DUMMYFUNCTION("""COMPUTED_VALUE"""),"Tica Simões, organizadora, George Pellegrini, artista gráfico.")</f>
        <v>Tica Simões, organizadora, George Pellegrini, artista gráfico.</v>
      </c>
      <c r="C492" s="24" t="str">
        <f>IFERROR(__xludf.DUMMYFUNCTION("""COMPUTED_VALUE"""),"Ilhéus, BA")</f>
        <v>Ilhéus, BA</v>
      </c>
      <c r="D492" s="24" t="str">
        <f>IFERROR(__xludf.DUMMYFUNCTION("""COMPUTED_VALUE"""),"Editus")</f>
        <v>Editus</v>
      </c>
      <c r="E492" s="25">
        <f>IFERROR(__xludf.DUMMYFUNCTION("""COMPUTED_VALUE"""),2011.0)</f>
        <v>2011</v>
      </c>
      <c r="F492" s="24" t="str">
        <f>IFERROR(__xludf.DUMMYFUNCTION("""COMPUTED_VALUE"""),"Bahia (Região cacaueira) – Descrições e viagens; Cultura (costumes) – Fotografias – Bahia (Região cacaueira); Bahia (Região cacaueira) – Obras ilustradas")</f>
        <v>Bahia (Região cacaueira) – Descrições e viagens; Cultura (costumes) – Fotografias – Bahia (Região cacaueira); Bahia (Região cacaueira) – Obras ilustradas</v>
      </c>
      <c r="G492" s="28" t="str">
        <f>IFERROR(__xludf.DUMMYFUNCTION("""COMPUTED_VALUE"""),"9788574552156")</f>
        <v>9788574552156</v>
      </c>
      <c r="H492" s="29" t="str">
        <f>IFERROR(__xludf.DUMMYFUNCTION("""COMPUTED_VALUE"""),"http://www.uesc.br/editora/livrosdigitais2015/grapiunidades.pdf")</f>
        <v>http://www.uesc.br/editora/livrosdigitais2015/grapiunidades.pdf</v>
      </c>
      <c r="I492" s="24" t="str">
        <f>IFERROR(__xludf.DUMMYFUNCTION("""COMPUTED_VALUE"""),"Ciências Humanas")</f>
        <v>Ciências Humanas</v>
      </c>
    </row>
    <row r="493">
      <c r="A493" s="24" t="str">
        <f>IFERROR(__xludf.DUMMYFUNCTION("""COMPUTED_VALUE"""),"Guia para a escrita de artigos científicos: uma perspectiva da pesquisa tecnológica")</f>
        <v>Guia para a escrita de artigos científicos: uma perspectiva da pesquisa tecnológica</v>
      </c>
      <c r="B493" s="24" t="str">
        <f>IFERROR(__xludf.DUMMYFUNCTION("""COMPUTED_VALUE"""),"Vanderlei Freitas Junior. Victor Martins de Sousa.")</f>
        <v>Vanderlei Freitas Junior. Victor Martins de Sousa.</v>
      </c>
      <c r="C493" s="24" t="str">
        <f>IFERROR(__xludf.DUMMYFUNCTION("""COMPUTED_VALUE"""),"Blumenau")</f>
        <v>Blumenau</v>
      </c>
      <c r="D493" s="24" t="str">
        <f>IFERROR(__xludf.DUMMYFUNCTION("""COMPUTED_VALUE"""),"Instituto Federal Catarinense")</f>
        <v>Instituto Federal Catarinense</v>
      </c>
      <c r="E493" s="25">
        <f>IFERROR(__xludf.DUMMYFUNCTION("""COMPUTED_VALUE"""),2018.0)</f>
        <v>2018</v>
      </c>
      <c r="F493" s="24" t="str">
        <f>IFERROR(__xludf.DUMMYFUNCTION("""COMPUTED_VALUE"""),"Pesquisa científica. Artigo científico")</f>
        <v>Pesquisa científica. Artigo científico</v>
      </c>
      <c r="G493" s="28" t="str">
        <f>IFERROR(__xludf.DUMMYFUNCTION("""COMPUTED_VALUE"""),"9788556440280")</f>
        <v>9788556440280</v>
      </c>
      <c r="H493" s="29" t="str">
        <f>IFERROR(__xludf.DUMMYFUNCTION("""COMPUTED_VALUE"""),"https://editora.ifc.edu.br/2018/12/20/guia-para-a-escrita-de-artigos-cientificos-uma-perspectiva-da-pesquisa-tecnologica/")</f>
        <v>https://editora.ifc.edu.br/2018/12/20/guia-para-a-escrita-de-artigos-cientificos-uma-perspectiva-da-pesquisa-tecnologica/</v>
      </c>
      <c r="I493" s="24" t="str">
        <f>IFERROR(__xludf.DUMMYFUNCTION("""COMPUTED_VALUE"""),"Ciências Humanas")</f>
        <v>Ciências Humanas</v>
      </c>
    </row>
    <row r="494">
      <c r="A494" s="24" t="str">
        <f>IFERROR(__xludf.DUMMYFUNCTION("""COMPUTED_VALUE"""),"Guia Prático de Conscientização da Apraxia de Fala na Infância: Entenda Melhor Esse Universo")</f>
        <v>Guia Prático de Conscientização da Apraxia de Fala na Infância: Entenda Melhor Esse Universo</v>
      </c>
      <c r="B494" s="24" t="str">
        <f>IFERROR(__xludf.DUMMYFUNCTION("""COMPUTED_VALUE"""),"Luciana Mendonça Dinoá Pereira, Rosa Silvânia Clementino de Araújo")</f>
        <v>Luciana Mendonça Dinoá Pereira, Rosa Silvânia Clementino de Araújo</v>
      </c>
      <c r="C494" s="24" t="str">
        <f>IFERROR(__xludf.DUMMYFUNCTION("""COMPUTED_VALUE"""),"João Pessoa")</f>
        <v>João Pessoa</v>
      </c>
      <c r="D494" s="24" t="str">
        <f>IFERROR(__xludf.DUMMYFUNCTION("""COMPUTED_VALUE"""),"Editora IFPB")</f>
        <v>Editora IFPB</v>
      </c>
      <c r="E494" s="25">
        <f>IFERROR(__xludf.DUMMYFUNCTION("""COMPUTED_VALUE"""),2020.0)</f>
        <v>2020</v>
      </c>
      <c r="F494" s="24" t="str">
        <f>IFERROR(__xludf.DUMMYFUNCTION("""COMPUTED_VALUE"""),"Apraxia da fala; Linguística - fala; Saúde; Distúrbios neurológicos; Infância")</f>
        <v>Apraxia da fala; Linguística - fala; Saúde; Distúrbios neurológicos; Infância</v>
      </c>
      <c r="G494" s="28" t="str">
        <f>IFERROR(__xludf.DUMMYFUNCTION("""COMPUTED_VALUE"""),"9786587572000")</f>
        <v>9786587572000</v>
      </c>
      <c r="H494" s="29" t="str">
        <f>IFERROR(__xludf.DUMMYFUNCTION("""COMPUTED_VALUE"""),"http://editora.ifpb.edu.br/index.php/ifpb/catalog/book/346")</f>
        <v>http://editora.ifpb.edu.br/index.php/ifpb/catalog/book/346</v>
      </c>
      <c r="I494" s="24" t="str">
        <f>IFERROR(__xludf.DUMMYFUNCTION("""COMPUTED_VALUE"""),"Ciências Humanas")</f>
        <v>Ciências Humanas</v>
      </c>
    </row>
    <row r="495">
      <c r="A495" s="24" t="str">
        <f>IFERROR(__xludf.DUMMYFUNCTION("""COMPUTED_VALUE"""),"Habilidades sociais e desempenho acadêmico: relatos, práticas e desafios atuais")</f>
        <v>Habilidades sociais e desempenho acadêmico: relatos, práticas e desafios atuais</v>
      </c>
      <c r="B495" s="24" t="str">
        <f>IFERROR(__xludf.DUMMYFUNCTION("""COMPUTED_VALUE"""),"Veronica Aparecida Pereira (org.)")</f>
        <v>Veronica Aparecida Pereira (org.)</v>
      </c>
      <c r="C495" s="24" t="str">
        <f>IFERROR(__xludf.DUMMYFUNCTION("""COMPUTED_VALUE"""),"Dourados, MS")</f>
        <v>Dourados, MS</v>
      </c>
      <c r="D495" s="24" t="str">
        <f>IFERROR(__xludf.DUMMYFUNCTION("""COMPUTED_VALUE"""),"Ed. da UFGD")</f>
        <v>Ed. da UFGD</v>
      </c>
      <c r="E495" s="25">
        <f>IFERROR(__xludf.DUMMYFUNCTION("""COMPUTED_VALUE"""),2013.0)</f>
        <v>2013</v>
      </c>
      <c r="F495" s="24" t="str">
        <f>IFERROR(__xludf.DUMMYFUNCTION("""COMPUTED_VALUE"""),"Aprendizagem escolar - Psicologia; Habilidades sociais em crianças; Problemas comportamentais")</f>
        <v>Aprendizagem escolar - Psicologia; Habilidades sociais em crianças; Problemas comportamentais</v>
      </c>
      <c r="G495" s="28" t="str">
        <f>IFERROR(__xludf.DUMMYFUNCTION("""COMPUTED_VALUE"""),"9788581470795")</f>
        <v>9788581470795</v>
      </c>
      <c r="H495" s="29" t="str">
        <f>IFERROR(__xludf.DUMMYFUNCTION("""COMPUTED_VALUE"""),"http://omp.ufgd.edu.br/omp/index.php/livrosabertos/catalog/view/115/56/201-3")</f>
        <v>http://omp.ufgd.edu.br/omp/index.php/livrosabertos/catalog/view/115/56/201-3</v>
      </c>
      <c r="I495" s="24" t="str">
        <f>IFERROR(__xludf.DUMMYFUNCTION("""COMPUTED_VALUE"""),"Ciências Humanas")</f>
        <v>Ciências Humanas</v>
      </c>
    </row>
    <row r="496">
      <c r="A496" s="24" t="str">
        <f>IFERROR(__xludf.DUMMYFUNCTION("""COMPUTED_VALUE"""),"Hacer historia de una frontera: mulheres, géneros, feminismos.")</f>
        <v>Hacer historia de una frontera: mulheres, géneros, feminismos.</v>
      </c>
      <c r="B496" s="24" t="str">
        <f>IFERROR(__xludf.DUMMYFUNCTION("""COMPUTED_VALUE"""),"Losandro Antonio Tedeschi ")</f>
        <v>Losandro Antonio Tedeschi </v>
      </c>
      <c r="C496" s="24" t="str">
        <f>IFERROR(__xludf.DUMMYFUNCTION("""COMPUTED_VALUE"""),"Dourados, MS")</f>
        <v>Dourados, MS</v>
      </c>
      <c r="D496" s="24" t="str">
        <f>IFERROR(__xludf.DUMMYFUNCTION("""COMPUTED_VALUE"""),"Ed. da UFGD")</f>
        <v>Ed. da UFGD</v>
      </c>
      <c r="E496" s="25">
        <f>IFERROR(__xludf.DUMMYFUNCTION("""COMPUTED_VALUE"""),2018.0)</f>
        <v>2018</v>
      </c>
      <c r="F496" s="24" t="str">
        <f>IFERROR(__xludf.DUMMYFUNCTION("""COMPUTED_VALUE"""),"Discriminação de sexo contra as mulheres; Mulheres – História; Mulheres – condições sociais; Sexismo")</f>
        <v>Discriminação de sexo contra as mulheres; Mulheres – História; Mulheres – condições sociais; Sexismo</v>
      </c>
      <c r="G496" s="28" t="str">
        <f>IFERROR(__xludf.DUMMYFUNCTION("""COMPUTED_VALUE"""),"9788581471518")</f>
        <v>9788581471518</v>
      </c>
      <c r="H496" s="29" t="str">
        <f>IFERROR(__xludf.DUMMYFUNCTION("""COMPUTED_VALUE"""),"http://omp.ufgd.edu.br/omp/index.php/livrosabertos/catalog/view/114/57/204-1")</f>
        <v>http://omp.ufgd.edu.br/omp/index.php/livrosabertos/catalog/view/114/57/204-1</v>
      </c>
      <c r="I496" s="24" t="str">
        <f>IFERROR(__xludf.DUMMYFUNCTION("""COMPUTED_VALUE"""),"Ciências Humanas")</f>
        <v>Ciências Humanas</v>
      </c>
    </row>
    <row r="497">
      <c r="A497" s="24" t="str">
        <f>IFERROR(__xludf.DUMMYFUNCTION("""COMPUTED_VALUE"""),"Heitor Villa-Lobos")</f>
        <v>Heitor Villa-Lobos</v>
      </c>
      <c r="B497" s="24" t="str">
        <f>IFERROR(__xludf.DUMMYFUNCTION("""COMPUTED_VALUE"""),"Santos, Marco Antônio Carvalho")</f>
        <v>Santos, Marco Antônio Carvalho</v>
      </c>
      <c r="C497" s="24" t="str">
        <f>IFERROR(__xludf.DUMMYFUNCTION("""COMPUTED_VALUE"""),"Recife")</f>
        <v>Recife</v>
      </c>
      <c r="D497" s="24" t="str">
        <f>IFERROR(__xludf.DUMMYFUNCTION("""COMPUTED_VALUE"""),"Fundação Joaquim Nabuco, Ed. Massangana")</f>
        <v>Fundação Joaquim Nabuco, Ed. Massangana</v>
      </c>
      <c r="E497" s="25">
        <f>IFERROR(__xludf.DUMMYFUNCTION("""COMPUTED_VALUE"""),2010.0)</f>
        <v>2010</v>
      </c>
      <c r="F497" s="24" t="str">
        <f>IFERROR(__xludf.DUMMYFUNCTION("""COMPUTED_VALUE"""),"Villa-Lobos, Heitor, 1887-1959; Educação - Brasil - História")</f>
        <v>Villa-Lobos, Heitor, 1887-1959; Educação - Brasil - História</v>
      </c>
      <c r="G497" s="28" t="str">
        <f>IFERROR(__xludf.DUMMYFUNCTION("""COMPUTED_VALUE"""),"9788570195210")</f>
        <v>9788570195210</v>
      </c>
      <c r="H497" s="29" t="str">
        <f>IFERROR(__xludf.DUMMYFUNCTION("""COMPUTED_VALUE"""),"https://hdl.handle.net/1884/47920")</f>
        <v>https://hdl.handle.net/1884/47920</v>
      </c>
      <c r="I497" s="24" t="str">
        <f>IFERROR(__xludf.DUMMYFUNCTION("""COMPUTED_VALUE"""),"Ciências Humanas")</f>
        <v>Ciências Humanas</v>
      </c>
    </row>
    <row r="498">
      <c r="A498" s="24" t="str">
        <f>IFERROR(__xludf.DUMMYFUNCTION("""COMPUTED_VALUE"""),"Herois de uma Revolução Anunciada ou aventureiros de um tempo perdido?")</f>
        <v>Herois de uma Revolução Anunciada ou aventureiros de um tempo perdido?</v>
      </c>
      <c r="B498" s="24" t="str">
        <f>IFERROR(__xludf.DUMMYFUNCTION("""COMPUTED_VALUE"""),"Gilbergues Santos")</f>
        <v>Gilbergues Santos</v>
      </c>
      <c r="C498" s="24" t="str">
        <f>IFERROR(__xludf.DUMMYFUNCTION("""COMPUTED_VALUE"""),"Campina Grande")</f>
        <v>Campina Grande</v>
      </c>
      <c r="D498" s="24" t="str">
        <f>IFERROR(__xludf.DUMMYFUNCTION("""COMPUTED_VALUE"""),"EDUEPB")</f>
        <v>EDUEPB</v>
      </c>
      <c r="E498" s="25">
        <f>IFERROR(__xludf.DUMMYFUNCTION("""COMPUTED_VALUE"""),2015.0)</f>
        <v>2015</v>
      </c>
      <c r="F498" s="24" t="str">
        <f>IFERROR(__xludf.DUMMYFUNCTION("""COMPUTED_VALUE"""),"Política. Socialismo. Campina Grande. Ditadura militar. Revolução. Partido comunista do Brasil. Marxismo. Situação política")</f>
        <v>Política. Socialismo. Campina Grande. Ditadura militar. Revolução. Partido comunista do Brasil. Marxismo. Situação política</v>
      </c>
      <c r="G498" s="28" t="str">
        <f>IFERROR(__xludf.DUMMYFUNCTION("""COMPUTED_VALUE"""),"9788578792459")</f>
        <v>9788578792459</v>
      </c>
      <c r="H498" s="29" t="str">
        <f>IFERROR(__xludf.DUMMYFUNCTION("""COMPUTED_VALUE"""),"http://eduepb.uepb.edu.br/download/herois-de-uma-revolucao-anunciada-ou-aventureiros-de-um-tempo-perdido/?wpdmdl=605&amp;amp;masterkey=5c8fa110e47c8")</f>
        <v>http://eduepb.uepb.edu.br/download/herois-de-uma-revolucao-anunciada-ou-aventureiros-de-um-tempo-perdido/?wpdmdl=605&amp;amp;masterkey=5c8fa110e47c8</v>
      </c>
      <c r="I498" s="24" t="str">
        <f>IFERROR(__xludf.DUMMYFUNCTION("""COMPUTED_VALUE"""),"Ciências Humanas")</f>
        <v>Ciências Humanas</v>
      </c>
    </row>
    <row r="499">
      <c r="A499" s="24" t="str">
        <f>IFERROR(__xludf.DUMMYFUNCTION("""COMPUTED_VALUE"""),"Heróis nos livros didáticos: bandeirantes paulistas")</f>
        <v>Heróis nos livros didáticos: bandeirantes paulistas</v>
      </c>
      <c r="B499" s="24" t="str">
        <f>IFERROR(__xludf.DUMMYFUNCTION("""COMPUTED_VALUE"""),"Manuel Pacheco Neto")</f>
        <v>Manuel Pacheco Neto</v>
      </c>
      <c r="C499" s="24" t="str">
        <f>IFERROR(__xludf.DUMMYFUNCTION("""COMPUTED_VALUE"""),"Dourados, MS")</f>
        <v>Dourados, MS</v>
      </c>
      <c r="D499" s="24" t="str">
        <f>IFERROR(__xludf.DUMMYFUNCTION("""COMPUTED_VALUE"""),"Ed. da UFGD")</f>
        <v>Ed. da UFGD</v>
      </c>
      <c r="E499" s="25">
        <f>IFERROR(__xludf.DUMMYFUNCTION("""COMPUTED_VALUE"""),2011.0)</f>
        <v>2011</v>
      </c>
      <c r="F499" s="24" t="str">
        <f>IFERROR(__xludf.DUMMYFUNCTION("""COMPUTED_VALUE"""),"Bandeirantes paulistas – História; Heroicizaçãodos bandeirantes; Livros didáticos")</f>
        <v>Bandeirantes paulistas – História; Heroicizaçãodos bandeirantes; Livros didáticos</v>
      </c>
      <c r="G499" s="28" t="str">
        <f>IFERROR(__xludf.DUMMYFUNCTION("""COMPUTED_VALUE"""),"9788561228842")</f>
        <v>9788561228842</v>
      </c>
      <c r="H499" s="29" t="str">
        <f>IFERROR(__xludf.DUMMYFUNCTION("""COMPUTED_VALUE"""),"http://omp.ufgd.edu.br/omp/index.php/livrosabertos/catalog/view/117/225/506-1")</f>
        <v>http://omp.ufgd.edu.br/omp/index.php/livrosabertos/catalog/view/117/225/506-1</v>
      </c>
      <c r="I499" s="24" t="str">
        <f>IFERROR(__xludf.DUMMYFUNCTION("""COMPUTED_VALUE"""),"Ciências Humanas")</f>
        <v>Ciências Humanas</v>
      </c>
    </row>
    <row r="500">
      <c r="A500" s="24" t="str">
        <f>IFERROR(__xludf.DUMMYFUNCTION("""COMPUTED_VALUE"""),"História colonial e ensino de história: propostas de plano de aula")</f>
        <v>História colonial e ensino de história: propostas de plano de aula</v>
      </c>
      <c r="B500" s="24" t="str">
        <f>IFERROR(__xludf.DUMMYFUNCTION("""COMPUTED_VALUE"""),"Monalisa Pavonne Oliveira (org.)")</f>
        <v>Monalisa Pavonne Oliveira (org.)</v>
      </c>
      <c r="C500" s="24" t="str">
        <f>IFERROR(__xludf.DUMMYFUNCTION("""COMPUTED_VALUE"""),"Boa Vista ")</f>
        <v>Boa Vista </v>
      </c>
      <c r="D500" s="24" t="str">
        <f>IFERROR(__xludf.DUMMYFUNCTION("""COMPUTED_VALUE"""),"UFRR")</f>
        <v>UFRR</v>
      </c>
      <c r="E500" s="25">
        <f>IFERROR(__xludf.DUMMYFUNCTION("""COMPUTED_VALUE"""),2019.0)</f>
        <v>2019</v>
      </c>
      <c r="F500" s="24" t="str">
        <f>IFERROR(__xludf.DUMMYFUNCTION("""COMPUTED_VALUE"""),"História; História colonial; Ensino de história; Plano de aula")</f>
        <v>História; História colonial; Ensino de história; Plano de aula</v>
      </c>
      <c r="G500" s="28" t="str">
        <f>IFERROR(__xludf.DUMMYFUNCTION("""COMPUTED_VALUE"""),"9788582881989")</f>
        <v>9788582881989</v>
      </c>
      <c r="H500" s="29" t="str">
        <f>IFERROR(__xludf.DUMMYFUNCTION("""COMPUTED_VALUE"""),"http://ufrr.br/editora/index.php/editais?download=415")</f>
        <v>http://ufrr.br/editora/index.php/editais?download=415</v>
      </c>
      <c r="I500" s="24" t="str">
        <f>IFERROR(__xludf.DUMMYFUNCTION("""COMPUTED_VALUE"""),"Ciências Humanas")</f>
        <v>Ciências Humanas</v>
      </c>
    </row>
    <row r="501">
      <c r="A501" s="24" t="str">
        <f>IFERROR(__xludf.DUMMYFUNCTION("""COMPUTED_VALUE"""),"História da América: historiografia e interpretações")</f>
        <v>História da América: historiografia e interpretações</v>
      </c>
      <c r="B501" s="24" t="str">
        <f>IFERROR(__xludf.DUMMYFUNCTION("""COMPUTED_VALUE"""),"Luiz Estevam de Oliveira Fernandes")</f>
        <v>Luiz Estevam de Oliveira Fernandes</v>
      </c>
      <c r="C501" s="24" t="str">
        <f>IFERROR(__xludf.DUMMYFUNCTION("""COMPUTED_VALUE"""),"Ouro Preto")</f>
        <v>Ouro Preto</v>
      </c>
      <c r="D501" s="24" t="str">
        <f>IFERROR(__xludf.DUMMYFUNCTION("""COMPUTED_VALUE"""),"UFOP")</f>
        <v>UFOP</v>
      </c>
      <c r="E501" s="25">
        <f>IFERROR(__xludf.DUMMYFUNCTION("""COMPUTED_VALUE"""),2012.0)</f>
        <v>2012</v>
      </c>
      <c r="F501" s="24" t="str">
        <f>IFERROR(__xludf.DUMMYFUNCTION("""COMPUTED_VALUE"""),"América latina-história. América latina-historiografia")</f>
        <v>América latina-história. América latina-historiografia</v>
      </c>
      <c r="G501" s="28" t="str">
        <f>IFERROR(__xludf.DUMMYFUNCTION("""COMPUTED_VALUE"""),"9788528802962")</f>
        <v>9788528802962</v>
      </c>
      <c r="H501" s="29" t="str">
        <f>IFERROR(__xludf.DUMMYFUNCTION("""COMPUTED_VALUE"""),"https://www.editora.ufop.br/index.php/editora/catalog/view/43/29/99-1")</f>
        <v>https://www.editora.ufop.br/index.php/editora/catalog/view/43/29/99-1</v>
      </c>
      <c r="I501" s="24" t="str">
        <f>IFERROR(__xludf.DUMMYFUNCTION("""COMPUTED_VALUE"""),"Ciências Humanas")</f>
        <v>Ciências Humanas</v>
      </c>
    </row>
    <row r="502">
      <c r="A502" s="24" t="str">
        <f>IFERROR(__xludf.DUMMYFUNCTION("""COMPUTED_VALUE"""),"História da Comunidade Kaiowá da Terra Indígena Panambizinho (1920-2005)")</f>
        <v>História da Comunidade Kaiowá da Terra Indígena Panambizinho (1920-2005)</v>
      </c>
      <c r="B502" s="24" t="str">
        <f>IFERROR(__xludf.DUMMYFUNCTION("""COMPUTED_VALUE"""),"Nely Aparecida Maciel")</f>
        <v>Nely Aparecida Maciel</v>
      </c>
      <c r="C502" s="24" t="str">
        <f>IFERROR(__xludf.DUMMYFUNCTION("""COMPUTED_VALUE"""),"Dourados, MS")</f>
        <v>Dourados, MS</v>
      </c>
      <c r="D502" s="24" t="str">
        <f>IFERROR(__xludf.DUMMYFUNCTION("""COMPUTED_VALUE"""),"Ed. da UFGD")</f>
        <v>Ed. da UFGD</v>
      </c>
      <c r="E502" s="25">
        <f>IFERROR(__xludf.DUMMYFUNCTION("""COMPUTED_VALUE"""),2012.0)</f>
        <v>2012</v>
      </c>
      <c r="F502" s="24" t="str">
        <f>IFERROR(__xludf.DUMMYFUNCTION("""COMPUTED_VALUE"""),"Índios – Dourados, MS; Índios – História (1920 a 2005); Indígenas – Condições econômicas; Kaiowá; Terra Indíge-na Panambizinho")</f>
        <v>Índios – Dourados, MS; Índios – História (1920 a 2005); Indígenas – Condições econômicas; Kaiowá; Terra Indíge-na Panambizinho</v>
      </c>
      <c r="G502" s="28" t="str">
        <f>IFERROR(__xludf.DUMMYFUNCTION("""COMPUTED_VALUE"""),"9788561228835")</f>
        <v>9788561228835</v>
      </c>
      <c r="H502" s="29" t="str">
        <f>IFERROR(__xludf.DUMMYFUNCTION("""COMPUTED_VALUE"""),"http://omp.ufgd.edu.br/omp/index.php/livrosabertos/catalog/view/118/224/505-1")</f>
        <v>http://omp.ufgd.edu.br/omp/index.php/livrosabertos/catalog/view/118/224/505-1</v>
      </c>
      <c r="I502" s="24" t="str">
        <f>IFERROR(__xludf.DUMMYFUNCTION("""COMPUTED_VALUE"""),"Ciências Humanas")</f>
        <v>Ciências Humanas</v>
      </c>
    </row>
    <row r="503">
      <c r="A503" s="24" t="str">
        <f>IFERROR(__xludf.DUMMYFUNCTION("""COMPUTED_VALUE"""),"História da Educação no Rio de Janeiro: instituições, saberes e sujeitos")</f>
        <v>História da Educação no Rio de Janeiro: instituições, saberes e sujeitos</v>
      </c>
      <c r="B503" s="24" t="str">
        <f>IFERROR(__xludf.DUMMYFUNCTION("""COMPUTED_VALUE"""),"José Gonçalves Gondra, Maria de Lourdes da Silva e Roni Cleber Dias de Menezes (orgs.)")</f>
        <v>José Gonçalves Gondra, Maria de Lourdes da Silva e Roni Cleber Dias de Menezes (orgs.)</v>
      </c>
      <c r="C503" s="24" t="str">
        <f>IFERROR(__xludf.DUMMYFUNCTION("""COMPUTED_VALUE"""),"Rio de Janeiro")</f>
        <v>Rio de Janeiro</v>
      </c>
      <c r="D503" s="24" t="str">
        <f>IFERROR(__xludf.DUMMYFUNCTION("""COMPUTED_VALUE"""),"EdUERJ")</f>
        <v>EdUERJ</v>
      </c>
      <c r="E503" s="25">
        <f>IFERROR(__xludf.DUMMYFUNCTION("""COMPUTED_VALUE"""),2014.0)</f>
        <v>2014</v>
      </c>
      <c r="F503" s="24" t="str">
        <f>IFERROR(__xludf.DUMMYFUNCTION("""COMPUTED_VALUE"""),"Educação; História da educação; Formação de professores")</f>
        <v>Educação; História da educação; Formação de professores</v>
      </c>
      <c r="G503" s="28" t="str">
        <f>IFERROR(__xludf.DUMMYFUNCTION("""COMPUTED_VALUE"""),"9788575113264")</f>
        <v>9788575113264</v>
      </c>
      <c r="H503" s="29" t="str">
        <f>IFERROR(__xludf.DUMMYFUNCTION("""COMPUTED_VALUE"""),"https://www.eduerj.com/eng/?product=historia-da-educacao-no-rio-de-janeiro-instituicoes-saberes-e-sujeitos-ebook")</f>
        <v>https://www.eduerj.com/eng/?product=historia-da-educacao-no-rio-de-janeiro-instituicoes-saberes-e-sujeitos-ebook</v>
      </c>
      <c r="I503" s="24" t="str">
        <f>IFERROR(__xludf.DUMMYFUNCTION("""COMPUTED_VALUE"""),"Ciências Humanas")</f>
        <v>Ciências Humanas</v>
      </c>
    </row>
    <row r="504">
      <c r="A504" s="24" t="str">
        <f>IFERROR(__xludf.DUMMYFUNCTION("""COMPUTED_VALUE"""),"História da educação, memória e sociedade. ")</f>
        <v>História da educação, memória e sociedade. </v>
      </c>
      <c r="B504" s="24" t="str">
        <f>IFERROR(__xludf.DUMMYFUNCTION("""COMPUTED_VALUE"""),"Reinaldo dos Santos, Alessandra Cristina Furtado (org.)")</f>
        <v>Reinaldo dos Santos, Alessandra Cristina Furtado (org.)</v>
      </c>
      <c r="C504" s="24" t="str">
        <f>IFERROR(__xludf.DUMMYFUNCTION("""COMPUTED_VALUE"""),"Dourados, MS")</f>
        <v>Dourados, MS</v>
      </c>
      <c r="D504" s="24" t="str">
        <f>IFERROR(__xludf.DUMMYFUNCTION("""COMPUTED_VALUE"""),"Ed. da UFGD")</f>
        <v>Ed. da UFGD</v>
      </c>
      <c r="E504" s="25">
        <f>IFERROR(__xludf.DUMMYFUNCTION("""COMPUTED_VALUE"""),2015.0)</f>
        <v>2015</v>
      </c>
      <c r="F504" s="24" t="str">
        <f>IFERROR(__xludf.DUMMYFUNCTION("""COMPUTED_VALUE"""),"História; História da educação; Pesquisa histórica")</f>
        <v>História; História da educação; Pesquisa histórica</v>
      </c>
      <c r="G504" s="28" t="str">
        <f>IFERROR(__xludf.DUMMYFUNCTION("""COMPUTED_VALUE"""),"9788581471129")</f>
        <v>9788581471129</v>
      </c>
      <c r="H504" s="29" t="str">
        <f>IFERROR(__xludf.DUMMYFUNCTION("""COMPUTED_VALUE"""),"http://omp.ufgd.edu.br/omp/index.php/livrosabertos/catalog/view/120/223/504-1")</f>
        <v>http://omp.ufgd.edu.br/omp/index.php/livrosabertos/catalog/view/120/223/504-1</v>
      </c>
      <c r="I504" s="24" t="str">
        <f>IFERROR(__xludf.DUMMYFUNCTION("""COMPUTED_VALUE"""),"Ciências Humanas")</f>
        <v>Ciências Humanas</v>
      </c>
    </row>
    <row r="505">
      <c r="A505" s="24" t="str">
        <f>IFERROR(__xludf.DUMMYFUNCTION("""COMPUTED_VALUE"""),"História da educação: desafi os teóricos e empíricos")</f>
        <v>História da educação: desafi os teóricos e empíricos</v>
      </c>
      <c r="B505" s="24" t="str">
        <f>IFERROR(__xludf.DUMMYFUNCTION("""COMPUTED_VALUE"""),"Ana Waleska Campos Pollo Mendonça; Claudia Alves; José Gonçalves Gondra; Libânia Nacif Xavier; Nailda Marinho da Costa Bonato (org.)")</f>
        <v>Ana Waleska Campos Pollo Mendonça; Claudia Alves; José Gonçalves Gondra; Libânia Nacif Xavier; Nailda Marinho da Costa Bonato (org.)</v>
      </c>
      <c r="C505" s="24" t="str">
        <f>IFERROR(__xludf.DUMMYFUNCTION("""COMPUTED_VALUE"""),"Niterói, RJ")</f>
        <v>Niterói, RJ</v>
      </c>
      <c r="D505" s="24" t="str">
        <f>IFERROR(__xludf.DUMMYFUNCTION("""COMPUTED_VALUE"""),"Editora da Universidade Federal Fluminense")</f>
        <v>Editora da Universidade Federal Fluminense</v>
      </c>
      <c r="E505" s="25">
        <f>IFERROR(__xludf.DUMMYFUNCTION("""COMPUTED_VALUE"""),2009.0)</f>
        <v>2009</v>
      </c>
      <c r="F505" s="24" t="str">
        <f>IFERROR(__xludf.DUMMYFUNCTION("""COMPUTED_VALUE"""),"Educação; História da educação")</f>
        <v>Educação; História da educação</v>
      </c>
      <c r="G505" s="26"/>
      <c r="H505" s="29" t="str">
        <f>IFERROR(__xludf.DUMMYFUNCTION("""COMPUTED_VALUE"""),"http://bit.ly/Historia-da-educacao")</f>
        <v>http://bit.ly/Historia-da-educacao</v>
      </c>
      <c r="I505" s="24" t="str">
        <f>IFERROR(__xludf.DUMMYFUNCTION("""COMPUTED_VALUE"""),"Ciências Humanas")</f>
        <v>Ciências Humanas</v>
      </c>
    </row>
    <row r="506">
      <c r="A506" s="24" t="str">
        <f>IFERROR(__xludf.DUMMYFUNCTION("""COMPUTED_VALUE"""),"História da Historiografia Religiosa")</f>
        <v>História da Historiografia Religiosa</v>
      </c>
      <c r="B506" s="24" t="str">
        <f>IFERROR(__xludf.DUMMYFUNCTION("""COMPUTED_VALUE"""),"Virgínia A Castro Buarque")</f>
        <v>Virgínia A Castro Buarque</v>
      </c>
      <c r="C506" s="24" t="str">
        <f>IFERROR(__xludf.DUMMYFUNCTION("""COMPUTED_VALUE"""),"Ouro Preto")</f>
        <v>Ouro Preto</v>
      </c>
      <c r="D506" s="24" t="str">
        <f>IFERROR(__xludf.DUMMYFUNCTION("""COMPUTED_VALUE"""),"UFOP")</f>
        <v>UFOP</v>
      </c>
      <c r="E506" s="25">
        <f>IFERROR(__xludf.DUMMYFUNCTION("""COMPUTED_VALUE"""),2012.0)</f>
        <v>2012</v>
      </c>
      <c r="F506" s="24" t="str">
        <f>IFERROR(__xludf.DUMMYFUNCTION("""COMPUTED_VALUE"""),"Religião-história. Religiões. Religiosidade")</f>
        <v>Religião-história. Religiões. Religiosidade</v>
      </c>
      <c r="G506" s="28" t="str">
        <f>IFERROR(__xludf.DUMMYFUNCTION("""COMPUTED_VALUE"""),"9788528802986")</f>
        <v>9788528802986</v>
      </c>
      <c r="H506" s="29" t="str">
        <f>IFERROR(__xludf.DUMMYFUNCTION("""COMPUTED_VALUE"""),"https://www.editora.ufop.br/index.php/editora/catalog/view/142/113/371-1")</f>
        <v>https://www.editora.ufop.br/index.php/editora/catalog/view/142/113/371-1</v>
      </c>
      <c r="I506" s="24" t="str">
        <f>IFERROR(__xludf.DUMMYFUNCTION("""COMPUTED_VALUE"""),"Ciências Humanas")</f>
        <v>Ciências Humanas</v>
      </c>
    </row>
    <row r="507">
      <c r="A507" s="24" t="str">
        <f>IFERROR(__xludf.DUMMYFUNCTION("""COMPUTED_VALUE"""),"História das Relações Internacionais: Teoria e Processos")</f>
        <v>História das Relações Internacionais: Teoria e Processos</v>
      </c>
      <c r="B507" s="24" t="str">
        <f>IFERROR(__xludf.DUMMYFUNCTION("""COMPUTED_VALUE"""),"Mônica Leite Lessa, Williams da Silva Gonçalves (Orgs.)")</f>
        <v>Mônica Leite Lessa, Williams da Silva Gonçalves (Orgs.)</v>
      </c>
      <c r="C507" s="24" t="str">
        <f>IFERROR(__xludf.DUMMYFUNCTION("""COMPUTED_VALUE"""),"Rio de Janeiro")</f>
        <v>Rio de Janeiro</v>
      </c>
      <c r="D507" s="24" t="str">
        <f>IFERROR(__xludf.DUMMYFUNCTION("""COMPUTED_VALUE"""),"EdUERJ")</f>
        <v>EdUERJ</v>
      </c>
      <c r="E507" s="25">
        <f>IFERROR(__xludf.DUMMYFUNCTION("""COMPUTED_VALUE"""),2007.0)</f>
        <v>2007</v>
      </c>
      <c r="F507" s="24" t="str">
        <f>IFERROR(__xludf.DUMMYFUNCTION("""COMPUTED_VALUE"""),"Relações internacionais; Brasil; Relações exteriores; História")</f>
        <v>Relações internacionais; Brasil; Relações exteriores; História</v>
      </c>
      <c r="G507" s="28" t="str">
        <f>IFERROR(__xludf.DUMMYFUNCTION("""COMPUTED_VALUE"""),"9788575111062")</f>
        <v>9788575111062</v>
      </c>
      <c r="H507" s="29" t="str">
        <f>IFERROR(__xludf.DUMMYFUNCTION("""COMPUTED_VALUE"""),"https://www.eduerj.com/eng/?product=historia-das-relacoes-internacionais-teoria-e-processos-3")</f>
        <v>https://www.eduerj.com/eng/?product=historia-das-relacoes-internacionais-teoria-e-processos-3</v>
      </c>
      <c r="I507" s="24" t="str">
        <f>IFERROR(__xludf.DUMMYFUNCTION("""COMPUTED_VALUE"""),"Ciências Humanas")</f>
        <v>Ciências Humanas</v>
      </c>
    </row>
    <row r="508">
      <c r="A508" s="24" t="str">
        <f>IFERROR(__xludf.DUMMYFUNCTION("""COMPUTED_VALUE"""),"História das Religiões: Inquisições, Intolerância Religiosa e Historiografia")</f>
        <v>História das Religiões: Inquisições, Intolerância Religiosa e Historiografia</v>
      </c>
      <c r="B508" s="24" t="str">
        <f>IFERROR(__xludf.DUMMYFUNCTION("""COMPUTED_VALUE"""),"Carlos André Cavalcanti, Ana Paula Cavalcanti, Raquel Miranda Carmona (organizadores). ")</f>
        <v>Carlos André Cavalcanti, Ana Paula Cavalcanti, Raquel Miranda Carmona (organizadores). </v>
      </c>
      <c r="C508" s="24" t="str">
        <f>IFERROR(__xludf.DUMMYFUNCTION("""COMPUTED_VALUE"""),"João Pessoa")</f>
        <v>João Pessoa</v>
      </c>
      <c r="D508" s="24" t="str">
        <f>IFERROR(__xludf.DUMMYFUNCTION("""COMPUTED_VALUE"""),"Editora da UFPB")</f>
        <v>Editora da UFPB</v>
      </c>
      <c r="E508" s="25">
        <f>IFERROR(__xludf.DUMMYFUNCTION("""COMPUTED_VALUE"""),2018.0)</f>
        <v>2018</v>
      </c>
      <c r="F508" s="24" t="str">
        <f>IFERROR(__xludf.DUMMYFUNCTION("""COMPUTED_VALUE"""),"Religião; Inquisição; Intolerância religiosa")</f>
        <v>Religião; Inquisição; Intolerância religiosa</v>
      </c>
      <c r="G508" s="28" t="str">
        <f>IFERROR(__xludf.DUMMYFUNCTION("""COMPUTED_VALUE"""),"9788523713775")</f>
        <v>9788523713775</v>
      </c>
      <c r="H508" s="29" t="str">
        <f>IFERROR(__xludf.DUMMYFUNCTION("""COMPUTED_VALUE"""),"http://www.editora.ufpb.br/sistema/press5/index.php/UFPB/catalog/book/438")</f>
        <v>http://www.editora.ufpb.br/sistema/press5/index.php/UFPB/catalog/book/438</v>
      </c>
      <c r="I508" s="24" t="str">
        <f>IFERROR(__xludf.DUMMYFUNCTION("""COMPUTED_VALUE"""),"Ciências Humanas")</f>
        <v>Ciências Humanas</v>
      </c>
    </row>
    <row r="509">
      <c r="A509" s="24" t="str">
        <f>IFERROR(__xludf.DUMMYFUNCTION("""COMPUTED_VALUE"""),"História e educação comparada: discursos, instituições e práticas educativas")</f>
        <v>História e educação comparada: discursos, instituições e práticas educativas</v>
      </c>
      <c r="B509" s="24" t="str">
        <f>IFERROR(__xludf.DUMMYFUNCTION("""COMPUTED_VALUE"""),"Cícero Edinaldo dos Santos; Jarles Lopes de Medeiros; Maria Juraci Maia Cavalcante; (Organizadores)")</f>
        <v>Cícero Edinaldo dos Santos; Jarles Lopes de Medeiros; Maria Juraci Maia Cavalcante; (Organizadores)</v>
      </c>
      <c r="C509" s="24" t="str">
        <f>IFERROR(__xludf.DUMMYFUNCTION("""COMPUTED_VALUE"""),"Fortaleza, CE")</f>
        <v>Fortaleza, CE</v>
      </c>
      <c r="D509" s="24" t="str">
        <f>IFERROR(__xludf.DUMMYFUNCTION("""COMPUTED_VALUE"""),"Edições UFC")</f>
        <v>Edições UFC</v>
      </c>
      <c r="E509" s="25">
        <f>IFERROR(__xludf.DUMMYFUNCTION("""COMPUTED_VALUE"""),2020.0)</f>
        <v>2020</v>
      </c>
      <c r="F509" s="24" t="str">
        <f>IFERROR(__xludf.DUMMYFUNCTION("""COMPUTED_VALUE"""),"Educação. Práticas Educacionais")</f>
        <v>Educação. Práticas Educacionais</v>
      </c>
      <c r="G509" s="28" t="str">
        <f>IFERROR(__xludf.DUMMYFUNCTION("""COMPUTED_VALUE"""),"9788572827799")</f>
        <v>9788572827799</v>
      </c>
      <c r="H509" s="29" t="str">
        <f>IFERROR(__xludf.DUMMYFUNCTION("""COMPUTED_VALUE"""),"http://www.editora.ufc.br/catalogo/24-educacao/985-historia-e-educacao-comparada-discursos-instituicoes-e-praticas-educativas")</f>
        <v>http://www.editora.ufc.br/catalogo/24-educacao/985-historia-e-educacao-comparada-discursos-instituicoes-e-praticas-educativas</v>
      </c>
      <c r="I509" s="24" t="str">
        <f>IFERROR(__xludf.DUMMYFUNCTION("""COMPUTED_VALUE"""),"Ciências Humanas")</f>
        <v>Ciências Humanas</v>
      </c>
    </row>
    <row r="510">
      <c r="A510" s="24" t="str">
        <f>IFERROR(__xludf.DUMMYFUNCTION("""COMPUTED_VALUE"""),"História e Ensino (fontes, métodos e temas)")</f>
        <v>História e Ensino (fontes, métodos e temas)</v>
      </c>
      <c r="B510" s="24" t="str">
        <f>IFERROR(__xludf.DUMMYFUNCTION("""COMPUTED_VALUE"""),"Edvanir Maia da Silveira, Raimundo Nonato Rodrigues de Souza, Tito Barros Leal")</f>
        <v>Edvanir Maia da Silveira, Raimundo Nonato Rodrigues de Souza, Tito Barros Leal</v>
      </c>
      <c r="C510" s="24" t="str">
        <f>IFERROR(__xludf.DUMMYFUNCTION("""COMPUTED_VALUE"""),"Sobral")</f>
        <v>Sobral</v>
      </c>
      <c r="D510" s="24" t="str">
        <f>IFERROR(__xludf.DUMMYFUNCTION("""COMPUTED_VALUE"""),"Edições UVA")</f>
        <v>Edições UVA</v>
      </c>
      <c r="E510" s="25">
        <f>IFERROR(__xludf.DUMMYFUNCTION("""COMPUTED_VALUE"""),2018.0)</f>
        <v>2018</v>
      </c>
      <c r="F510" s="24" t="str">
        <f>IFERROR(__xludf.DUMMYFUNCTION("""COMPUTED_VALUE"""),"História, Educação, Ensino, Métodos")</f>
        <v>História, Educação, Ensino, Métodos</v>
      </c>
      <c r="G510" s="28" t="str">
        <f>IFERROR(__xludf.DUMMYFUNCTION("""COMPUTED_VALUE"""),"9788595390218")</f>
        <v>9788595390218</v>
      </c>
      <c r="H510" s="29" t="str">
        <f>IFERROR(__xludf.DUMMYFUNCTION("""COMPUTED_VALUE"""),"http://www.uvanet.br/edicoes_uva/gera_xml.php?arquivo=historia_ensino")</f>
        <v>http://www.uvanet.br/edicoes_uva/gera_xml.php?arquivo=historia_ensino</v>
      </c>
      <c r="I510" s="24" t="str">
        <f>IFERROR(__xludf.DUMMYFUNCTION("""COMPUTED_VALUE"""),"Ciências Humanas")</f>
        <v>Ciências Humanas</v>
      </c>
    </row>
    <row r="511">
      <c r="A511" s="24" t="str">
        <f>IFERROR(__xludf.DUMMYFUNCTION("""COMPUTED_VALUE"""),"História e Fronteira")</f>
        <v>História e Fronteira</v>
      </c>
      <c r="B511" s="24" t="str">
        <f>IFERROR(__xludf.DUMMYFUNCTION("""COMPUTED_VALUE"""),"Domingos Savio da Cunha Garcia; Paulo Celso Miceli (org.)")</f>
        <v>Domingos Savio da Cunha Garcia; Paulo Celso Miceli (org.)</v>
      </c>
      <c r="C511" s="24" t="str">
        <f>IFERROR(__xludf.DUMMYFUNCTION("""COMPUTED_VALUE"""),"Cáceres")</f>
        <v>Cáceres</v>
      </c>
      <c r="D511" s="24" t="str">
        <f>IFERROR(__xludf.DUMMYFUNCTION("""COMPUTED_VALUE"""),"UNEMAT")</f>
        <v>UNEMAT</v>
      </c>
      <c r="E511" s="25">
        <f>IFERROR(__xludf.DUMMYFUNCTION("""COMPUTED_VALUE"""),2010.0)</f>
        <v>2010</v>
      </c>
      <c r="F511" s="24" t="str">
        <f>IFERROR(__xludf.DUMMYFUNCTION("""COMPUTED_VALUE"""),"História do Brasil; História da América do Sul")</f>
        <v>História do Brasil; História da América do Sul</v>
      </c>
      <c r="G511" s="28" t="str">
        <f>IFERROR(__xludf.DUMMYFUNCTION("""COMPUTED_VALUE"""),"9788579111297")</f>
        <v>9788579111297</v>
      </c>
      <c r="H511" s="29" t="str">
        <f>IFERROR(__xludf.DUMMYFUNCTION("""COMPUTED_VALUE"""),"http://www.unemat.br/reitoria/editora/downloads/eletronico/historia_e_fronteira.pdf")</f>
        <v>http://www.unemat.br/reitoria/editora/downloads/eletronico/historia_e_fronteira.pdf</v>
      </c>
      <c r="I511" s="24" t="str">
        <f>IFERROR(__xludf.DUMMYFUNCTION("""COMPUTED_VALUE"""),"Ciências Humanas")</f>
        <v>Ciências Humanas</v>
      </c>
    </row>
    <row r="512">
      <c r="A512" s="24" t="str">
        <f>IFERROR(__xludf.DUMMYFUNCTION("""COMPUTED_VALUE"""),"História e memória Cáceres")</f>
        <v>História e memória Cáceres</v>
      </c>
      <c r="B512" s="24" t="str">
        <f>IFERROR(__xludf.DUMMYFUNCTION("""COMPUTED_VALUE"""),"organizadores Otáviio Ribeiro Chaves, Elmar Figueiredo de Arruda")</f>
        <v>organizadores Otáviio Ribeiro Chaves, Elmar Figueiredo de Arruda</v>
      </c>
      <c r="C512" s="24" t="str">
        <f>IFERROR(__xludf.DUMMYFUNCTION("""COMPUTED_VALUE"""),"Cáceres")</f>
        <v>Cáceres</v>
      </c>
      <c r="D512" s="24" t="str">
        <f>IFERROR(__xludf.DUMMYFUNCTION("""COMPUTED_VALUE"""),"UNEMAT")</f>
        <v>UNEMAT</v>
      </c>
      <c r="E512" s="25">
        <f>IFERROR(__xludf.DUMMYFUNCTION("""COMPUTED_VALUE"""),2011.0)</f>
        <v>2011</v>
      </c>
      <c r="F512" s="24" t="str">
        <f>IFERROR(__xludf.DUMMYFUNCTION("""COMPUTED_VALUE"""),"História Cáceres. Memória Cáceres")</f>
        <v>História Cáceres. Memória Cáceres</v>
      </c>
      <c r="G512" s="28" t="str">
        <f>IFERROR(__xludf.DUMMYFUNCTION("""COMPUTED_VALUE"""),"9788579110610")</f>
        <v>9788579110610</v>
      </c>
      <c r="H512" s="29" t="str">
        <f>IFERROR(__xludf.DUMMYFUNCTION("""COMPUTED_VALUE"""),"http://www.unemat.br/reitoria/editora/downloads/eletronico/historia_memoria_caceres.pdf")</f>
        <v>http://www.unemat.br/reitoria/editora/downloads/eletronico/historia_memoria_caceres.pdf</v>
      </c>
      <c r="I512" s="24" t="str">
        <f>IFERROR(__xludf.DUMMYFUNCTION("""COMPUTED_VALUE"""),"Ciências Humanas")</f>
        <v>Ciências Humanas</v>
      </c>
    </row>
    <row r="513">
      <c r="A513" s="24" t="str">
        <f>IFERROR(__xludf.DUMMYFUNCTION("""COMPUTED_VALUE"""),"História e providencialismo: Bossuet, Vico e Rousseau: textos e estudos")</f>
        <v>História e providencialismo: Bossuet, Vico e Rousseau: textos e estudos</v>
      </c>
      <c r="B513" s="24" t="str">
        <f>IFERROR(__xludf.DUMMYFUNCTION("""COMPUTED_VALUE"""),"Edmilson Menezes (org.) ")</f>
        <v>Edmilson Menezes (org.) </v>
      </c>
      <c r="C513" s="24" t="str">
        <f>IFERROR(__xludf.DUMMYFUNCTION("""COMPUTED_VALUE"""),"Ilhéus, BA")</f>
        <v>Ilhéus, BA</v>
      </c>
      <c r="D513" s="24" t="str">
        <f>IFERROR(__xludf.DUMMYFUNCTION("""COMPUTED_VALUE"""),"Editus")</f>
        <v>Editus</v>
      </c>
      <c r="E513" s="25">
        <f>IFERROR(__xludf.DUMMYFUNCTION("""COMPUTED_VALUE"""),2006.0)</f>
        <v>2006</v>
      </c>
      <c r="F513" s="24" t="str">
        <f>IFERROR(__xludf.DUMMYFUNCTION("""COMPUTED_VALUE"""),"Filosofia da História; Providência divina; Sermões; Biografia – Filósofos")</f>
        <v>Filosofia da História; Providência divina; Sermões; Biografia – Filósofos</v>
      </c>
      <c r="G513" s="28" t="str">
        <f>IFERROR(__xludf.DUMMYFUNCTION("""COMPUTED_VALUE"""),"8574551007")</f>
        <v>8574551007</v>
      </c>
      <c r="H513" s="29" t="str">
        <f>IFERROR(__xludf.DUMMYFUNCTION("""COMPUTED_VALUE"""),"http://www.uesc.br/editora/livrosdigitais2015/historia_e_providencia.pdf")</f>
        <v>http://www.uesc.br/editora/livrosdigitais2015/historia_e_providencia.pdf</v>
      </c>
      <c r="I513" s="24" t="str">
        <f>IFERROR(__xludf.DUMMYFUNCTION("""COMPUTED_VALUE"""),"Ciências Humanas")</f>
        <v>Ciências Humanas</v>
      </c>
    </row>
    <row r="514">
      <c r="A514" s="24" t="str">
        <f>IFERROR(__xludf.DUMMYFUNCTION("""COMPUTED_VALUE"""),"História fetichista: o aparelho de hegemonia filosófico Instituto Brasileiro de Filosofia Convivium (1964 - 1985)")</f>
        <v>História fetichista: o aparelho de hegemonia filosófico Instituto Brasileiro de Filosofia Convivium (1964 - 1985)</v>
      </c>
      <c r="B514" s="24" t="str">
        <f>IFERROR(__xludf.DUMMYFUNCTION("""COMPUTED_VALUE"""),"Rodrigo Jurucê Mattos Gonçalves")</f>
        <v>Rodrigo Jurucê Mattos Gonçalves</v>
      </c>
      <c r="C514" s="24" t="str">
        <f>IFERROR(__xludf.DUMMYFUNCTION("""COMPUTED_VALUE"""),"Anápolis")</f>
        <v>Anápolis</v>
      </c>
      <c r="D514" s="24" t="str">
        <f>IFERROR(__xludf.DUMMYFUNCTION("""COMPUTED_VALUE"""),"UEG")</f>
        <v>UEG</v>
      </c>
      <c r="E514" s="25">
        <f>IFERROR(__xludf.DUMMYFUNCTION("""COMPUTED_VALUE"""),2017.0)</f>
        <v>2017</v>
      </c>
      <c r="F514" s="24" t="str">
        <f>IFERROR(__xludf.DUMMYFUNCTION("""COMPUTED_VALUE"""),"Instituto Brasileiro de Filosofia; Revista Convivium; Revolução passiva; Aparelho de hegemonia filosófico")</f>
        <v>Instituto Brasileiro de Filosofia; Revista Convivium; Revolução passiva; Aparelho de hegemonia filosófico</v>
      </c>
      <c r="G514" s="28" t="str">
        <f>IFERROR(__xludf.DUMMYFUNCTION("""COMPUTED_VALUE"""),"9788555820281")</f>
        <v>9788555820281</v>
      </c>
      <c r="H514" s="29" t="str">
        <f>IFERROR(__xludf.DUMMYFUNCTION("""COMPUTED_VALUE"""),"http://cdn.ueg.edu.br/source/editora_ueg/conteudo_compartilhado/11009/ebook_historia_fetichista.pdf")</f>
        <v>http://cdn.ueg.edu.br/source/editora_ueg/conteudo_compartilhado/11009/ebook_historia_fetichista.pdf</v>
      </c>
      <c r="I514" s="24" t="str">
        <f>IFERROR(__xludf.DUMMYFUNCTION("""COMPUTED_VALUE"""),"Ciências Humanas")</f>
        <v>Ciências Humanas</v>
      </c>
    </row>
    <row r="515">
      <c r="A515" s="24" t="str">
        <f>IFERROR(__xludf.DUMMYFUNCTION("""COMPUTED_VALUE"""),"História intelectual latino-americana: itinerários, debates e perspectivas")</f>
        <v>História intelectual latino-americana: itinerários, debates e perspectivas</v>
      </c>
      <c r="B515" s="24" t="str">
        <f>IFERROR(__xludf.DUMMYFUNCTION("""COMPUTED_VALUE"""),"ORGANIZAÇÃO; Maria Elisa Noronha de Sá")</f>
        <v>ORGANIZAÇÃO; Maria Elisa Noronha de Sá</v>
      </c>
      <c r="C515" s="24" t="str">
        <f>IFERROR(__xludf.DUMMYFUNCTION("""COMPUTED_VALUE"""),"Rio de Janeiro")</f>
        <v>Rio de Janeiro</v>
      </c>
      <c r="D515" s="24" t="str">
        <f>IFERROR(__xludf.DUMMYFUNCTION("""COMPUTED_VALUE"""),"Editora PUC Rio")</f>
        <v>Editora PUC Rio</v>
      </c>
      <c r="E515" s="25">
        <f>IFERROR(__xludf.DUMMYFUNCTION("""COMPUTED_VALUE"""),2016.0)</f>
        <v>2016</v>
      </c>
      <c r="F515" s="24" t="str">
        <f>IFERROR(__xludf.DUMMYFUNCTION("""COMPUTED_VALUE"""),". América Latina – História. Intelectuais – Atividades políticas – América Latina")</f>
        <v>. América Latina – História. Intelectuais – Atividades políticas – América Latina</v>
      </c>
      <c r="G515" s="28" t="str">
        <f>IFERROR(__xludf.DUMMYFUNCTION("""COMPUTED_VALUE"""),"9788580062090")</f>
        <v>9788580062090</v>
      </c>
      <c r="H515" s="29" t="str">
        <f>IFERROR(__xludf.DUMMYFUNCTION("""COMPUTED_VALUE"""),"http://www.editora.puc-rio.br/media/Historia_intelectual_ebooka.pdf")</f>
        <v>http://www.editora.puc-rio.br/media/Historia_intelectual_ebooka.pdf</v>
      </c>
      <c r="I515" s="24" t="str">
        <f>IFERROR(__xludf.DUMMYFUNCTION("""COMPUTED_VALUE"""),"Ciências Humanas")</f>
        <v>Ciências Humanas</v>
      </c>
    </row>
    <row r="516">
      <c r="A516" s="24" t="str">
        <f>IFERROR(__xludf.DUMMYFUNCTION("""COMPUTED_VALUE"""),"História Local: Contribuições para Pensar, Fazer e Ensinar (disponível temporariamente)")</f>
        <v>História Local: Contribuições para Pensar, Fazer e Ensinar (disponível temporariamente)</v>
      </c>
      <c r="B516" s="24" t="str">
        <f>IFERROR(__xludf.DUMMYFUNCTION("""COMPUTED_VALUE"""),"Vilma de Lurdes Barbosa e Melo")</f>
        <v>Vilma de Lurdes Barbosa e Melo</v>
      </c>
      <c r="C516" s="24" t="str">
        <f>IFERROR(__xludf.DUMMYFUNCTION("""COMPUTED_VALUE"""),"João Pessoa")</f>
        <v>João Pessoa</v>
      </c>
      <c r="D516" s="24" t="str">
        <f>IFERROR(__xludf.DUMMYFUNCTION("""COMPUTED_VALUE"""),"Editora da UFPB")</f>
        <v>Editora da UFPB</v>
      </c>
      <c r="E516" s="25">
        <f>IFERROR(__xludf.DUMMYFUNCTION("""COMPUTED_VALUE"""),2015.0)</f>
        <v>2015</v>
      </c>
      <c r="F516" s="24" t="str">
        <f>IFERROR(__xludf.DUMMYFUNCTION("""COMPUTED_VALUE"""),"História regional; História local; Memória material; Memória imaterial")</f>
        <v>História regional; História local; Memória material; Memória imaterial</v>
      </c>
      <c r="G516" s="28" t="str">
        <f>IFERROR(__xludf.DUMMYFUNCTION("""COMPUTED_VALUE"""),"9788523711016")</f>
        <v>9788523711016</v>
      </c>
      <c r="H516" s="29" t="str">
        <f>IFERROR(__xludf.DUMMYFUNCTION("""COMPUTED_VALUE"""),"http://www.editora.ufpb.br/sistema/press5/index.php/UFPB/catalog/book/386")</f>
        <v>http://www.editora.ufpb.br/sistema/press5/index.php/UFPB/catalog/book/386</v>
      </c>
      <c r="I516" s="24" t="str">
        <f>IFERROR(__xludf.DUMMYFUNCTION("""COMPUTED_VALUE"""),"Ciências Humanas")</f>
        <v>Ciências Humanas</v>
      </c>
    </row>
    <row r="517">
      <c r="A517" s="24" t="str">
        <f>IFERROR(__xludf.DUMMYFUNCTION("""COMPUTED_VALUE"""),"História, Retórica e Mulheres no Império Romano: um estudo sobre as personagens femininas e a construção da imagem de Nero na narrativa de Tácito")</f>
        <v>História, Retórica e Mulheres no Império Romano: um estudo sobre as personagens femininas e a construção da imagem de Nero na narrativa de Tácito</v>
      </c>
      <c r="B517" s="24" t="str">
        <f>IFERROR(__xludf.DUMMYFUNCTION("""COMPUTED_VALUE"""),"Sarah Fernandes Lino de Azevedo")</f>
        <v>Sarah Fernandes Lino de Azevedo</v>
      </c>
      <c r="C517" s="24" t="str">
        <f>IFERROR(__xludf.DUMMYFUNCTION("""COMPUTED_VALUE"""),"Ouro Preto")</f>
        <v>Ouro Preto</v>
      </c>
      <c r="D517" s="24" t="str">
        <f>IFERROR(__xludf.DUMMYFUNCTION("""COMPUTED_VALUE"""),"UFOP")</f>
        <v>UFOP</v>
      </c>
      <c r="E517" s="25">
        <f>IFERROR(__xludf.DUMMYFUNCTION("""COMPUTED_VALUE"""),2012.0)</f>
        <v>2012</v>
      </c>
      <c r="F517" s="24" t="str">
        <f>IFERROR(__xludf.DUMMYFUNCTION("""COMPUTED_VALUE"""),"Roma-história. Mulheres. Imperadores romanos")</f>
        <v>Roma-história. Mulheres. Imperadores romanos</v>
      </c>
      <c r="G517" s="28" t="str">
        <f>IFERROR(__xludf.DUMMYFUNCTION("""COMPUTED_VALUE"""),"9788528802931")</f>
        <v>9788528802931</v>
      </c>
      <c r="H517" s="29" t="str">
        <f>IFERROR(__xludf.DUMMYFUNCTION("""COMPUTED_VALUE"""),"https://www.editora.ufop.br/index.php/editora/catalog/view/41/28/95-1")</f>
        <v>https://www.editora.ufop.br/index.php/editora/catalog/view/41/28/95-1</v>
      </c>
      <c r="I517" s="24" t="str">
        <f>IFERROR(__xludf.DUMMYFUNCTION("""COMPUTED_VALUE"""),"Ciências Humanas")</f>
        <v>Ciências Humanas</v>
      </c>
    </row>
    <row r="518">
      <c r="A518" s="24" t="str">
        <f>IFERROR(__xludf.DUMMYFUNCTION("""COMPUTED_VALUE"""),"Historiando Camocim")</f>
        <v>Historiando Camocim</v>
      </c>
      <c r="B518" s="24" t="str">
        <f>IFERROR(__xludf.DUMMYFUNCTION("""COMPUTED_VALUE"""),"Carlos Augusto Pereira dos Santos ,Gleiciane Freitas")</f>
        <v>Carlos Augusto Pereira dos Santos ,Gleiciane Freitas</v>
      </c>
      <c r="C518" s="24" t="str">
        <f>IFERROR(__xludf.DUMMYFUNCTION("""COMPUTED_VALUE"""),"Sobral")</f>
        <v>Sobral</v>
      </c>
      <c r="D518" s="24" t="str">
        <f>IFERROR(__xludf.DUMMYFUNCTION("""COMPUTED_VALUE"""),"Edições UVA")</f>
        <v>Edições UVA</v>
      </c>
      <c r="E518" s="25">
        <f>IFERROR(__xludf.DUMMYFUNCTION("""COMPUTED_VALUE"""),2017.0)</f>
        <v>2017</v>
      </c>
      <c r="F518" s="24" t="str">
        <f>IFERROR(__xludf.DUMMYFUNCTION("""COMPUTED_VALUE"""),"Camocin, História local, Ensino de história")</f>
        <v>Camocin, História local, Ensino de história</v>
      </c>
      <c r="G518" s="28" t="str">
        <f>IFERROR(__xludf.DUMMYFUNCTION("""COMPUTED_VALUE"""),"9788595390096")</f>
        <v>9788595390096</v>
      </c>
      <c r="H518" s="29" t="str">
        <f>IFERROR(__xludf.DUMMYFUNCTION("""COMPUTED_VALUE"""),"http://www.uvanet.br/edicoes_uva/gera_xml.php?arquivo=historiando_camocim")</f>
        <v>http://www.uvanet.br/edicoes_uva/gera_xml.php?arquivo=historiando_camocim</v>
      </c>
      <c r="I518" s="24" t="str">
        <f>IFERROR(__xludf.DUMMYFUNCTION("""COMPUTED_VALUE"""),"Ciências Humanas")</f>
        <v>Ciências Humanas</v>
      </c>
    </row>
    <row r="519">
      <c r="A519" s="24" t="str">
        <f>IFERROR(__xludf.DUMMYFUNCTION("""COMPUTED_VALUE"""),"Historiando Camocim (Manual do Professor)")</f>
        <v>Historiando Camocim (Manual do Professor)</v>
      </c>
      <c r="B519" s="24" t="str">
        <f>IFERROR(__xludf.DUMMYFUNCTION("""COMPUTED_VALUE"""),"Carlos Augusto Pereira dos Santos ,Gleiciane Freitas")</f>
        <v>Carlos Augusto Pereira dos Santos ,Gleiciane Freitas</v>
      </c>
      <c r="C519" s="24" t="str">
        <f>IFERROR(__xludf.DUMMYFUNCTION("""COMPUTED_VALUE"""),"Sobral")</f>
        <v>Sobral</v>
      </c>
      <c r="D519" s="24" t="str">
        <f>IFERROR(__xludf.DUMMYFUNCTION("""COMPUTED_VALUE"""),"Edições UVA")</f>
        <v>Edições UVA</v>
      </c>
      <c r="E519" s="25">
        <f>IFERROR(__xludf.DUMMYFUNCTION("""COMPUTED_VALUE"""),2017.0)</f>
        <v>2017</v>
      </c>
      <c r="F519" s="24" t="str">
        <f>IFERROR(__xludf.DUMMYFUNCTION("""COMPUTED_VALUE"""),"Camocin, História local, Ensino de história")</f>
        <v>Camocin, História local, Ensino de história</v>
      </c>
      <c r="G519" s="28" t="str">
        <f>IFERROR(__xludf.DUMMYFUNCTION("""COMPUTED_VALUE"""),"9788595390119")</f>
        <v>9788595390119</v>
      </c>
      <c r="H519" s="29" t="str">
        <f>IFERROR(__xludf.DUMMYFUNCTION("""COMPUTED_VALUE"""),"http://www.uvanet.br/edicoes_uva/gera_xml.php?arquivo=historiando_camocim_manual_professor")</f>
        <v>http://www.uvanet.br/edicoes_uva/gera_xml.php?arquivo=historiando_camocim_manual_professor</v>
      </c>
      <c r="I519" s="24" t="str">
        <f>IFERROR(__xludf.DUMMYFUNCTION("""COMPUTED_VALUE"""),"Ciências Humanas")</f>
        <v>Ciências Humanas</v>
      </c>
    </row>
    <row r="520">
      <c r="A520" s="24" t="str">
        <f>IFERROR(__xludf.DUMMYFUNCTION("""COMPUTED_VALUE"""),"Histórias da Educação Popular do tempo presente (disponível temporariamente)")</f>
        <v>Histórias da Educação Popular do tempo presente (disponível temporariamente)</v>
      </c>
      <c r="B520" s="24" t="str">
        <f>IFERROR(__xludf.DUMMYFUNCTION("""COMPUTED_VALUE"""),"Afonso Celso Scocuglia, Luciélio Marinho da Costa (Orgs.).")</f>
        <v>Afonso Celso Scocuglia, Luciélio Marinho da Costa (Orgs.).</v>
      </c>
      <c r="C520" s="24" t="str">
        <f>IFERROR(__xludf.DUMMYFUNCTION("""COMPUTED_VALUE"""),"João Pessoa")</f>
        <v>João Pessoa</v>
      </c>
      <c r="D520" s="24" t="str">
        <f>IFERROR(__xludf.DUMMYFUNCTION("""COMPUTED_VALUE"""),"Editora da UFPB")</f>
        <v>Editora da UFPB</v>
      </c>
      <c r="E520" s="25">
        <f>IFERROR(__xludf.DUMMYFUNCTION("""COMPUTED_VALUE"""),2017.0)</f>
        <v>2017</v>
      </c>
      <c r="F520" s="24" t="str">
        <f>IFERROR(__xludf.DUMMYFUNCTION("""COMPUTED_VALUE"""),"Educação Popular. ; Educação Jovens e Adultos. ; Políticas Públicas; Educação no Campo")</f>
        <v>Educação Popular. ; Educação Jovens e Adultos. ; Políticas Públicas; Educação no Campo</v>
      </c>
      <c r="G520" s="28" t="str">
        <f>IFERROR(__xludf.DUMMYFUNCTION("""COMPUTED_VALUE"""),"9788523712082")</f>
        <v>9788523712082</v>
      </c>
      <c r="H520" s="29" t="str">
        <f>IFERROR(__xludf.DUMMYFUNCTION("""COMPUTED_VALUE"""),"http://www.editora.ufpb.br/sistema/press5/index.php/UFPB/catalog/book/327")</f>
        <v>http://www.editora.ufpb.br/sistema/press5/index.php/UFPB/catalog/book/327</v>
      </c>
      <c r="I520" s="24" t="str">
        <f>IFERROR(__xludf.DUMMYFUNCTION("""COMPUTED_VALUE"""),"Ciências Humanas")</f>
        <v>Ciências Humanas</v>
      </c>
    </row>
    <row r="521">
      <c r="A521" s="24" t="str">
        <f>IFERROR(__xludf.DUMMYFUNCTION("""COMPUTED_VALUE"""),"Histórias de Repressão e Luta na UFOP, Ouro Preto e Região")</f>
        <v>Histórias de Repressão e Luta na UFOP, Ouro Preto e Região</v>
      </c>
      <c r="B521" s="24" t="str">
        <f>IFERROR(__xludf.DUMMYFUNCTION("""COMPUTED_VALUE"""),"Marco Antonio Silveira; Marta Regina Maia; Mateus Henrique de Faria Pereira; Camilla Cristina Silva")</f>
        <v>Marco Antonio Silveira; Marta Regina Maia; Mateus Henrique de Faria Pereira; Camilla Cristina Silva</v>
      </c>
      <c r="C521" s="24" t="str">
        <f>IFERROR(__xludf.DUMMYFUNCTION("""COMPUTED_VALUE"""),"Ouro Preto")</f>
        <v>Ouro Preto</v>
      </c>
      <c r="D521" s="24" t="str">
        <f>IFERROR(__xludf.DUMMYFUNCTION("""COMPUTED_VALUE"""),"UFOP")</f>
        <v>UFOP</v>
      </c>
      <c r="E521" s="25">
        <f>IFERROR(__xludf.DUMMYFUNCTION("""COMPUTED_VALUE"""),2018.0)</f>
        <v>2018</v>
      </c>
      <c r="F521" s="24" t="str">
        <f>IFERROR(__xludf.DUMMYFUNCTION("""COMPUTED_VALUE"""),"Ditadura – Brasil – História. Universidade Federal de Ouro Preto – História. Ouro Preto (MG) – História")</f>
        <v>Ditadura – Brasil – História. Universidade Federal de Ouro Preto – História. Ouro Preto (MG) – História</v>
      </c>
      <c r="G521" s="28" t="str">
        <f>IFERROR(__xludf.DUMMYFUNCTION("""COMPUTED_VALUE"""),"9788528803679")</f>
        <v>9788528803679</v>
      </c>
      <c r="H521" s="29" t="str">
        <f>IFERROR(__xludf.DUMMYFUNCTION("""COMPUTED_VALUE"""),"https://www.editora.ufop.br/index.php/editora/catalog/view/153/122/400-1")</f>
        <v>https://www.editora.ufop.br/index.php/editora/catalog/view/153/122/400-1</v>
      </c>
      <c r="I521" s="24" t="str">
        <f>IFERROR(__xludf.DUMMYFUNCTION("""COMPUTED_VALUE"""),"Ciências Humanas")</f>
        <v>Ciências Humanas</v>
      </c>
    </row>
    <row r="522">
      <c r="A522" s="24" t="str">
        <f>IFERROR(__xludf.DUMMYFUNCTION("""COMPUTED_VALUE"""),"Histórias de vida e formação de professores: diálogos entre Brasil e Portugal")</f>
        <v>Histórias de vida e formação de professores: diálogos entre Brasil e Portugal</v>
      </c>
      <c r="B522" s="24" t="str">
        <f>IFERROR(__xludf.DUMMYFUNCTION("""COMPUTED_VALUE"""),"Inês Ferreira de Souza Bragança")</f>
        <v>Inês Ferreira de Souza Bragança</v>
      </c>
      <c r="C522" s="24" t="str">
        <f>IFERROR(__xludf.DUMMYFUNCTION("""COMPUTED_VALUE"""),"Rio de Janeiro, RJ")</f>
        <v>Rio de Janeiro, RJ</v>
      </c>
      <c r="D522" s="24" t="str">
        <f>IFERROR(__xludf.DUMMYFUNCTION("""COMPUTED_VALUE"""),"EdUERJ")</f>
        <v>EdUERJ</v>
      </c>
      <c r="E522" s="25">
        <f>IFERROR(__xludf.DUMMYFUNCTION("""COMPUTED_VALUE"""),2012.0)</f>
        <v>2012</v>
      </c>
      <c r="F522" s="24" t="str">
        <f>IFERROR(__xludf.DUMMYFUNCTION("""COMPUTED_VALUE"""),"Professores – Formação – Brasil; Professores –; Formação – Portugal")</f>
        <v>Professores – Formação – Brasil; Professores –; Formação – Portugal</v>
      </c>
      <c r="G522" s="28" t="str">
        <f>IFERROR(__xludf.DUMMYFUNCTION("""COMPUTED_VALUE"""),"9788575112441")</f>
        <v>9788575112441</v>
      </c>
      <c r="H522" s="29" t="str">
        <f>IFERROR(__xludf.DUMMYFUNCTION("""COMPUTED_VALUE"""),"http://books.scielo.org/id/f6qxr/pdf/braganca-9788575114698.pdf")</f>
        <v>http://books.scielo.org/id/f6qxr/pdf/braganca-9788575114698.pdf</v>
      </c>
      <c r="I522" s="24" t="str">
        <f>IFERROR(__xludf.DUMMYFUNCTION("""COMPUTED_VALUE"""),"Ciências Humanas")</f>
        <v>Ciências Humanas</v>
      </c>
    </row>
    <row r="523">
      <c r="A523" s="24" t="str">
        <f>IFERROR(__xludf.DUMMYFUNCTION("""COMPUTED_VALUE"""),"Histórias de vida: experiências com história oral")</f>
        <v>Histórias de vida: experiências com história oral</v>
      </c>
      <c r="B523" s="24" t="str">
        <f>IFERROR(__xludf.DUMMYFUNCTION("""COMPUTED_VALUE"""),"Denise Rollemberg (org.)")</f>
        <v>Denise Rollemberg (org.)</v>
      </c>
      <c r="C523" s="24" t="str">
        <f>IFERROR(__xludf.DUMMYFUNCTION("""COMPUTED_VALUE"""),"Niterói, RJ")</f>
        <v>Niterói, RJ</v>
      </c>
      <c r="D523" s="24" t="str">
        <f>IFERROR(__xludf.DUMMYFUNCTION("""COMPUTED_VALUE"""),"Editora da UFF")</f>
        <v>Editora da UFF</v>
      </c>
      <c r="E523" s="25">
        <f>IFERROR(__xludf.DUMMYFUNCTION("""COMPUTED_VALUE"""),2012.0)</f>
        <v>2012</v>
      </c>
      <c r="F523" s="24" t="str">
        <f>IFERROR(__xludf.DUMMYFUNCTION("""COMPUTED_VALUE"""),"História oral; Memória")</f>
        <v>História oral; Memória</v>
      </c>
      <c r="G523" s="28" t="str">
        <f>IFERROR(__xludf.DUMMYFUNCTION("""COMPUTED_VALUE"""),"9788522807253")</f>
        <v>9788522807253</v>
      </c>
      <c r="H523" s="29" t="str">
        <f>IFERROR(__xludf.DUMMYFUNCTION("""COMPUTED_VALUE"""),"http://www.eduff.uff.br/index.php/livros/183-historias-de-vida-experiencias-com-historia-oral")</f>
        <v>http://www.eduff.uff.br/index.php/livros/183-historias-de-vida-experiencias-com-historia-oral</v>
      </c>
      <c r="I523" s="24" t="str">
        <f>IFERROR(__xludf.DUMMYFUNCTION("""COMPUTED_VALUE"""),"Ciências Humanas")</f>
        <v>Ciências Humanas</v>
      </c>
    </row>
    <row r="524">
      <c r="A524" s="24" t="str">
        <f>IFERROR(__xludf.DUMMYFUNCTION("""COMPUTED_VALUE"""),"Histórias do pós-abolição no mundo atlântico: identidades e projetos políticos - volume 1")</f>
        <v>Histórias do pós-abolição no mundo atlântico: identidades e projetos políticos - volume 1</v>
      </c>
      <c r="B524" s="24" t="str">
        <f>IFERROR(__xludf.DUMMYFUNCTION("""COMPUTED_VALUE"""),"organizado por Martha Abreu, Carolina Vianna Dantas e Hebe Mattos")</f>
        <v>organizado por Martha Abreu, Carolina Vianna Dantas e Hebe Mattos</v>
      </c>
      <c r="C524" s="24" t="str">
        <f>IFERROR(__xludf.DUMMYFUNCTION("""COMPUTED_VALUE"""),"Niterói, RJ")</f>
        <v>Niterói, RJ</v>
      </c>
      <c r="D524" s="24" t="str">
        <f>IFERROR(__xludf.DUMMYFUNCTION("""COMPUTED_VALUE"""),"Editora da UFF")</f>
        <v>Editora da UFF</v>
      </c>
      <c r="E524" s="25">
        <f>IFERROR(__xludf.DUMMYFUNCTION("""COMPUTED_VALUE"""),2014.0)</f>
        <v>2014</v>
      </c>
      <c r="F524" s="24" t="str">
        <f>IFERROR(__xludf.DUMMYFUNCTION("""COMPUTED_VALUE"""),"Escravidão atlântica; Abolição da escravidão")</f>
        <v>Escravidão atlântica; Abolição da escravidão</v>
      </c>
      <c r="G524" s="28" t="str">
        <f>IFERROR(__xludf.DUMMYFUNCTION("""COMPUTED_VALUE"""),"9788522811168")</f>
        <v>9788522811168</v>
      </c>
      <c r="H524" s="29" t="str">
        <f>IFERROR(__xludf.DUMMYFUNCTION("""COMPUTED_VALUE"""),"http://www.eduff.uff.br/ebooks/Historias-do-pos-abolicao-no-mundo-atlantico.pdf")</f>
        <v>http://www.eduff.uff.br/ebooks/Historias-do-pos-abolicao-no-mundo-atlantico.pdf</v>
      </c>
      <c r="I524" s="24" t="str">
        <f>IFERROR(__xludf.DUMMYFUNCTION("""COMPUTED_VALUE"""),"Ciências Humanas")</f>
        <v>Ciências Humanas</v>
      </c>
    </row>
    <row r="525">
      <c r="A525" s="24" t="str">
        <f>IFERROR(__xludf.DUMMYFUNCTION("""COMPUTED_VALUE"""),"Histórias do pós-abolição no mundo atlântico: identidades e projetos políticos - volume 2")</f>
        <v>Histórias do pós-abolição no mundo atlântico: identidades e projetos políticos - volume 2</v>
      </c>
      <c r="B525" s="24" t="str">
        <f>IFERROR(__xludf.DUMMYFUNCTION("""COMPUTED_VALUE"""),"organizado por Martha Abreu, Carolina Vianna Dantas e Hebe Mattos")</f>
        <v>organizado por Martha Abreu, Carolina Vianna Dantas e Hebe Mattos</v>
      </c>
      <c r="C525" s="24" t="str">
        <f>IFERROR(__xludf.DUMMYFUNCTION("""COMPUTED_VALUE"""),"Niterói, RJ")</f>
        <v>Niterói, RJ</v>
      </c>
      <c r="D525" s="24" t="str">
        <f>IFERROR(__xludf.DUMMYFUNCTION("""COMPUTED_VALUE"""),"Editora da UFF")</f>
        <v>Editora da UFF</v>
      </c>
      <c r="E525" s="25">
        <f>IFERROR(__xludf.DUMMYFUNCTION("""COMPUTED_VALUE"""),2014.0)</f>
        <v>2014</v>
      </c>
      <c r="F525" s="24" t="str">
        <f>IFERROR(__xludf.DUMMYFUNCTION("""COMPUTED_VALUE"""),"Escravidão atlântica; Abolição da escravidão")</f>
        <v>Escravidão atlântica; Abolição da escravidão</v>
      </c>
      <c r="G525" s="28" t="str">
        <f>IFERROR(__xludf.DUMMYFUNCTION("""COMPUTED_VALUE"""),"9788522811182")</f>
        <v>9788522811182</v>
      </c>
      <c r="H525" s="29" t="str">
        <f>IFERROR(__xludf.DUMMYFUNCTION("""COMPUTED_VALUE"""),"http://www.eduff.uff.br/ebooks/Historias-do-pos-abolicao-no-mundo-atlantico-v2.pdf")</f>
        <v>http://www.eduff.uff.br/ebooks/Historias-do-pos-abolicao-no-mundo-atlantico-v2.pdf</v>
      </c>
      <c r="I525" s="24" t="str">
        <f>IFERROR(__xludf.DUMMYFUNCTION("""COMPUTED_VALUE"""),"Ciências Humanas")</f>
        <v>Ciências Humanas</v>
      </c>
    </row>
    <row r="526">
      <c r="A526" s="24" t="str">
        <f>IFERROR(__xludf.DUMMYFUNCTION("""COMPUTED_VALUE"""),"Histórias do pós-abolição no mundo atlântico: identidades e projetos políticos – volume 3")</f>
        <v>Histórias do pós-abolição no mundo atlântico: identidades e projetos políticos – volume 3</v>
      </c>
      <c r="B526" s="24" t="str">
        <f>IFERROR(__xludf.DUMMYFUNCTION("""COMPUTED_VALUE"""),"organizado por Martha Abreu, Carolina Vianna Dantas e Hebe Mattos")</f>
        <v>organizado por Martha Abreu, Carolina Vianna Dantas e Hebe Mattos</v>
      </c>
      <c r="C526" s="24" t="str">
        <f>IFERROR(__xludf.DUMMYFUNCTION("""COMPUTED_VALUE"""),"Niterói, RJ")</f>
        <v>Niterói, RJ</v>
      </c>
      <c r="D526" s="24" t="str">
        <f>IFERROR(__xludf.DUMMYFUNCTION("""COMPUTED_VALUE"""),"Editora da UFF")</f>
        <v>Editora da UFF</v>
      </c>
      <c r="E526" s="25">
        <f>IFERROR(__xludf.DUMMYFUNCTION("""COMPUTED_VALUE"""),2014.0)</f>
        <v>2014</v>
      </c>
      <c r="F526" s="24" t="str">
        <f>IFERROR(__xludf.DUMMYFUNCTION("""COMPUTED_VALUE"""),"Escravidão atlântica; Abolição da escravidão")</f>
        <v>Escravidão atlântica; Abolição da escravidão</v>
      </c>
      <c r="G526" s="28" t="str">
        <f>IFERROR(__xludf.DUMMYFUNCTION("""COMPUTED_VALUE"""),"9788522811328")</f>
        <v>9788522811328</v>
      </c>
      <c r="H526" s="29" t="str">
        <f>IFERROR(__xludf.DUMMYFUNCTION("""COMPUTED_VALUE"""),"http://www.eduff.uff.br/ebooks/Historias-do-pos-abolicao-no-mundo-atlantico-v3.pdf")</f>
        <v>http://www.eduff.uff.br/ebooks/Historias-do-pos-abolicao-no-mundo-atlantico-v3.pdf</v>
      </c>
      <c r="I526" s="24" t="str">
        <f>IFERROR(__xludf.DUMMYFUNCTION("""COMPUTED_VALUE"""),"Ciências Humanas")</f>
        <v>Ciências Humanas</v>
      </c>
    </row>
    <row r="527">
      <c r="A527" s="24" t="str">
        <f>IFERROR(__xludf.DUMMYFUNCTION("""COMPUTED_VALUE"""),"Histórias e memórias do centenário do Instituto Nossa Senhora da Piedade: 100 anos de existência 1916-2016 ")</f>
        <v>Histórias e memórias do centenário do Instituto Nossa Senhora da Piedade: 100 anos de existência 1916-2016 </v>
      </c>
      <c r="B527" s="24" t="str">
        <f>IFERROR(__xludf.DUMMYFUNCTION("""COMPUTED_VALUE"""),"Renée Albagli Nogueira (coordenadora); comissão de coordenação Alfredo Amorim Silveira ... (et al.).")</f>
        <v>Renée Albagli Nogueira (coordenadora); comissão de coordenação Alfredo Amorim Silveira ... (et al.).</v>
      </c>
      <c r="C527" s="24" t="str">
        <f>IFERROR(__xludf.DUMMYFUNCTION("""COMPUTED_VALUE"""),"Ilhéus, BA")</f>
        <v>Ilhéus, BA</v>
      </c>
      <c r="D527" s="24" t="str">
        <f>IFERROR(__xludf.DUMMYFUNCTION("""COMPUTED_VALUE"""),"Editus")</f>
        <v>Editus</v>
      </c>
      <c r="E527" s="25">
        <f>IFERROR(__xludf.DUMMYFUNCTION("""COMPUTED_VALUE"""),2016.0)</f>
        <v>2016</v>
      </c>
      <c r="F527" s="24" t="str">
        <f>IFERROR(__xludf.DUMMYFUNCTION("""COMPUTED_VALUE"""),"Colégio Nossa Senhora da Piedade (Ilhéus, BA) - História; Ursulinas - Educação - Bahia; Ensino religioso (Ilhéus, BA); Instituições religiosas e eclesiásticas - Ilhéus (BA) - História")</f>
        <v>Colégio Nossa Senhora da Piedade (Ilhéus, BA) - História; Ursulinas - Educação - Bahia; Ensino religioso (Ilhéus, BA); Instituições religiosas e eclesiásticas - Ilhéus (BA) - História</v>
      </c>
      <c r="G527" s="28" t="str">
        <f>IFERROR(__xludf.DUMMYFUNCTION("""COMPUTED_VALUE"""),"9788574554211")</f>
        <v>9788574554211</v>
      </c>
      <c r="H527" s="29" t="str">
        <f>IFERROR(__xludf.DUMMYFUNCTION("""COMPUTED_VALUE"""),"http://www.uesc.br/editora/livrosdigitais_20170620/histememo_insp.pdf")</f>
        <v>http://www.uesc.br/editora/livrosdigitais_20170620/histememo_insp.pdf</v>
      </c>
      <c r="I527" s="24" t="str">
        <f>IFERROR(__xludf.DUMMYFUNCTION("""COMPUTED_VALUE"""),"Ciências Humanas")</f>
        <v>Ciências Humanas</v>
      </c>
    </row>
    <row r="528">
      <c r="A528" s="24" t="str">
        <f>IFERROR(__xludf.DUMMYFUNCTION("""COMPUTED_VALUE"""),"Histórias que (re) contam história: análise dopovoamento, colonização e reforma agrária do sulde Mato Grosso do Sul")</f>
        <v>Histórias que (re) contam história: análise dopovoamento, colonização e reforma agrária do sulde Mato Grosso do Sul</v>
      </c>
      <c r="B528" s="24" t="str">
        <f>IFERROR(__xludf.DUMMYFUNCTION("""COMPUTED_VALUE"""),"Benícia Couto de Oliveira (org.)")</f>
        <v>Benícia Couto de Oliveira (org.)</v>
      </c>
      <c r="C528" s="24" t="str">
        <f>IFERROR(__xludf.DUMMYFUNCTION("""COMPUTED_VALUE"""),"Dourados, MS")</f>
        <v>Dourados, MS</v>
      </c>
      <c r="D528" s="24" t="str">
        <f>IFERROR(__xludf.DUMMYFUNCTION("""COMPUTED_VALUE"""),"Ed. da UFGD")</f>
        <v>Ed. da UFGD</v>
      </c>
      <c r="E528" s="25">
        <f>IFERROR(__xludf.DUMMYFUNCTION("""COMPUTED_VALUE"""),2013.0)</f>
        <v>2013</v>
      </c>
      <c r="F528" s="24" t="str">
        <f>IFERROR(__xludf.DUMMYFUNCTION("""COMPUTED_VALUE"""),"Reforma agrária – Mato Grosso do Sul;História – Mato Grosso do Sul; Povoamento")</f>
        <v>Reforma agrária – Mato Grosso do Sul;História – Mato Grosso do Sul; Povoamento</v>
      </c>
      <c r="G528" s="28" t="str">
        <f>IFERROR(__xludf.DUMMYFUNCTION("""COMPUTED_VALUE"""),"9788581470375")</f>
        <v>9788581470375</v>
      </c>
      <c r="H528" s="29" t="str">
        <f>IFERROR(__xludf.DUMMYFUNCTION("""COMPUTED_VALUE"""),"http://omp.ufgd.edu.br/omp/index.php/livrosabertos/catalog/view/121/222/503-1")</f>
        <v>http://omp.ufgd.edu.br/omp/index.php/livrosabertos/catalog/view/121/222/503-1</v>
      </c>
      <c r="I528" s="24" t="str">
        <f>IFERROR(__xludf.DUMMYFUNCTION("""COMPUTED_VALUE"""),"Ciências Humanas")</f>
        <v>Ciências Humanas</v>
      </c>
    </row>
    <row r="529">
      <c r="A529" s="24" t="str">
        <f>IFERROR(__xludf.DUMMYFUNCTION("""COMPUTED_VALUE"""),"Hiyokéná senóhikó = dança feminina")</f>
        <v>Hiyokéná senóhikó = dança feminina</v>
      </c>
      <c r="B529" s="24" t="str">
        <f>IFERROR(__xludf.DUMMYFUNCTION("""COMPUTED_VALUE"""),"Comitê Editorial Cone Sul Ação Saberes Indígenas na Escola.")</f>
        <v>Comitê Editorial Cone Sul Ação Saberes Indígenas na Escola.</v>
      </c>
      <c r="C529" s="24" t="str">
        <f>IFERROR(__xludf.DUMMYFUNCTION("""COMPUTED_VALUE"""),"Dourados, MS")</f>
        <v>Dourados, MS</v>
      </c>
      <c r="D529" s="24" t="str">
        <f>IFERROR(__xludf.DUMMYFUNCTION("""COMPUTED_VALUE"""),"Ed. Universidade Federal daGrande Dourados")</f>
        <v>Ed. Universidade Federal daGrande Dourados</v>
      </c>
      <c r="E529" s="25">
        <f>IFERROR(__xludf.DUMMYFUNCTION("""COMPUTED_VALUE"""),2019.0)</f>
        <v>2019</v>
      </c>
      <c r="F529" s="24" t="str">
        <f>IFERROR(__xludf.DUMMYFUNCTION("""COMPUTED_VALUE"""),"Mitos indígenas (Brasil); Índios Guarani Kaiowá – Literaturainfantojuvenil; Literatura infantojuvenil brasileira - Escritoresindígenas; Mito terena; Etnografia")</f>
        <v>Mitos indígenas (Brasil); Índios Guarani Kaiowá – Literaturainfantojuvenil; Literatura infantojuvenil brasileira - Escritoresindígenas; Mito terena; Etnografia</v>
      </c>
      <c r="G529" s="28" t="str">
        <f>IFERROR(__xludf.DUMMYFUNCTION("""COMPUTED_VALUE"""),"9788581471761")</f>
        <v>9788581471761</v>
      </c>
      <c r="H529" s="29" t="str">
        <f>IFERROR(__xludf.DUMMYFUNCTION("""COMPUTED_VALUE"""),"http://omp.ufgd.edu.br/omp/index.php/livrosabertos/catalog/view/257/253/560-1")</f>
        <v>http://omp.ufgd.edu.br/omp/index.php/livrosabertos/catalog/view/257/253/560-1</v>
      </c>
      <c r="I529" s="24" t="str">
        <f>IFERROR(__xludf.DUMMYFUNCTION("""COMPUTED_VALUE"""),"Ciências Humanas")</f>
        <v>Ciências Humanas</v>
      </c>
    </row>
    <row r="530">
      <c r="A530" s="24" t="str">
        <f>IFERROR(__xludf.DUMMYFUNCTION("""COMPUTED_VALUE"""),"Hoje acordei pra luta! : intelectuais pela universidade pública")</f>
        <v>Hoje acordei pra luta! : intelectuais pela universidade pública</v>
      </c>
      <c r="B530" s="24" t="str">
        <f>IFERROR(__xludf.DUMMYFUNCTION("""COMPUTED_VALUE"""),"Phellipe Marcel, Iuri Pavan e Mauro Siqueira")</f>
        <v>Phellipe Marcel, Iuri Pavan e Mauro Siqueira</v>
      </c>
      <c r="C530" s="24" t="str">
        <f>IFERROR(__xludf.DUMMYFUNCTION("""COMPUTED_VALUE"""),"Rio de Janeiro")</f>
        <v>Rio de Janeiro</v>
      </c>
      <c r="D530" s="24" t="str">
        <f>IFERROR(__xludf.DUMMYFUNCTION("""COMPUTED_VALUE"""),"EdUERJ")</f>
        <v>EdUERJ</v>
      </c>
      <c r="E530" s="25">
        <f>IFERROR(__xludf.DUMMYFUNCTION("""COMPUTED_VALUE"""),2017.0)</f>
        <v>2017</v>
      </c>
      <c r="F530" s="24" t="str">
        <f>IFERROR(__xludf.DUMMYFUNCTION("""COMPUTED_VALUE"""),"Lutas sociais; Universidades públicas; Educação pública")</f>
        <v>Lutas sociais; Universidades públicas; Educação pública</v>
      </c>
      <c r="G530" s="28" t="str">
        <f>IFERROR(__xludf.DUMMYFUNCTION("""COMPUTED_VALUE"""),"9788575114469")</f>
        <v>9788575114469</v>
      </c>
      <c r="H530" s="29" t="str">
        <f>IFERROR(__xludf.DUMMYFUNCTION("""COMPUTED_VALUE"""),"https://www.eduerj.com/eng/?product=hoje-acordei-pra-luta-intelectuais-pela-universidade-publica")</f>
        <v>https://www.eduerj.com/eng/?product=hoje-acordei-pra-luta-intelectuais-pela-universidade-publica</v>
      </c>
      <c r="I530" s="24" t="str">
        <f>IFERROR(__xludf.DUMMYFUNCTION("""COMPUTED_VALUE"""),"Ciências Humanas")</f>
        <v>Ciências Humanas</v>
      </c>
    </row>
    <row r="531">
      <c r="A531" s="24" t="str">
        <f>IFERROR(__xludf.DUMMYFUNCTION("""COMPUTED_VALUE"""),"I Encontro Nacional da REM: Rede de Educadores em Museus e Centros Culturais do Estado do Rio de Janeiro")</f>
        <v>I Encontro Nacional da REM: Rede de Educadores em Museus e Centros Culturais do Estado do Rio de Janeiro</v>
      </c>
      <c r="B531" s="24" t="str">
        <f>IFERROR(__xludf.DUMMYFUNCTION("""COMPUTED_VALUE"""),"Fundação Casa de Rui Barbosa/ MinC; Departamento de Museus e Centros; Culturais/ Iphan/ MinC; ")</f>
        <v>Fundação Casa de Rui Barbosa/ MinC; Departamento de Museus e Centros; Culturais/ Iphan/ MinC; </v>
      </c>
      <c r="C531" s="24" t="str">
        <f>IFERROR(__xludf.DUMMYFUNCTION("""COMPUTED_VALUE"""),"Rio de Janeiro")</f>
        <v>Rio de Janeiro</v>
      </c>
      <c r="D531" s="24" t="str">
        <f>IFERROR(__xludf.DUMMYFUNCTION("""COMPUTED_VALUE"""),"Fundação Casa de Rui Barbosa")</f>
        <v>Fundação Casa de Rui Barbosa</v>
      </c>
      <c r="E531" s="25">
        <f>IFERROR(__xludf.DUMMYFUNCTION("""COMPUTED_VALUE"""),2010.0)</f>
        <v>2010</v>
      </c>
      <c r="F531" s="24" t="str">
        <f>IFERROR(__xludf.DUMMYFUNCTION("""COMPUTED_VALUE"""),"Museu - Seminário. Centro cultural - Seminário. Educador")</f>
        <v>Museu - Seminário. Centro cultural - Seminário. Educador</v>
      </c>
      <c r="G531" s="28" t="str">
        <f>IFERROR(__xludf.DUMMYFUNCTION("""COMPUTED_VALUE"""),"9788570043016")</f>
        <v>9788570043016</v>
      </c>
      <c r="H531" s="29" t="str">
        <f>IFERROR(__xludf.DUMMYFUNCTION("""COMPUTED_VALUE"""),"http://www.casaruibarbosa.gov.br/arquivos/file/Encontro%20Nacional%20da%20REM%20OCR.pdf")</f>
        <v>http://www.casaruibarbosa.gov.br/arquivos/file/Encontro%20Nacional%20da%20REM%20OCR.pdf</v>
      </c>
      <c r="I531" s="24" t="str">
        <f>IFERROR(__xludf.DUMMYFUNCTION("""COMPUTED_VALUE"""),"Ciências Humanas")</f>
        <v>Ciências Humanas</v>
      </c>
    </row>
    <row r="532">
      <c r="A532" s="24" t="str">
        <f>IFERROR(__xludf.DUMMYFUNCTION("""COMPUTED_VALUE"""),"I ENOQUE: nos bastidores de crenças angelológicas judaico-cristãs")</f>
        <v>I ENOQUE: nos bastidores de crenças angelológicas judaico-cristãs</v>
      </c>
      <c r="B532" s="24" t="str">
        <f>IFERROR(__xludf.DUMMYFUNCTION("""COMPUTED_VALUE"""),"Filipe Guimarães; ")</f>
        <v>Filipe Guimarães; </v>
      </c>
      <c r="C532" s="24" t="str">
        <f>IFERROR(__xludf.DUMMYFUNCTION("""COMPUTED_VALUE"""),"Macapá")</f>
        <v>Macapá</v>
      </c>
      <c r="D532" s="24" t="str">
        <f>IFERROR(__xludf.DUMMYFUNCTION("""COMPUTED_VALUE"""),"UNIFAP")</f>
        <v>UNIFAP</v>
      </c>
      <c r="E532" s="25">
        <f>IFERROR(__xludf.DUMMYFUNCTION("""COMPUTED_VALUE"""),2018.0)</f>
        <v>2018</v>
      </c>
      <c r="F532" s="24" t="str">
        <f>IFERROR(__xludf.DUMMYFUNCTION("""COMPUTED_VALUE"""),"Religião; Cristianismo; Enoque")</f>
        <v>Religião; Cristianismo; Enoque</v>
      </c>
      <c r="G532" s="28" t="str">
        <f>IFERROR(__xludf.DUMMYFUNCTION("""COMPUTED_VALUE"""),"9788554760373")</f>
        <v>9788554760373</v>
      </c>
      <c r="H532" s="29" t="str">
        <f>IFERROR(__xludf.DUMMYFUNCTION("""COMPUTED_VALUE"""),"https://www2.unifap.br/editora/files/2019/07/1-enoque-nos-bastidores-de-crencas-angelologicas-judaico-cristas.pdf")</f>
        <v>https://www2.unifap.br/editora/files/2019/07/1-enoque-nos-bastidores-de-crencas-angelologicas-judaico-cristas.pdf</v>
      </c>
      <c r="I532" s="24" t="str">
        <f>IFERROR(__xludf.DUMMYFUNCTION("""COMPUTED_VALUE"""),"Ciências Humanas")</f>
        <v>Ciências Humanas</v>
      </c>
    </row>
    <row r="533">
      <c r="A533" s="24" t="str">
        <f>IFERROR(__xludf.DUMMYFUNCTION("""COMPUTED_VALUE"""),"I SIMPÓSIO DE GLOTOPOLÍTICA E INTEGRAÇÃO REGIONAL")</f>
        <v>I SIMPÓSIO DE GLOTOPOLÍTICA E INTEGRAÇÃO REGIONAL</v>
      </c>
      <c r="B533" s="24" t="str">
        <f>IFERROR(__xludf.DUMMYFUNCTION("""COMPUTED_VALUE"""),"Andreia Silva Ponte, Josete Marinho, Maria De Pilar Roca, Socorro Tavares de Souza.")</f>
        <v>Andreia Silva Ponte, Josete Marinho, Maria De Pilar Roca, Socorro Tavares de Souza.</v>
      </c>
      <c r="C533" s="24" t="str">
        <f>IFERROR(__xludf.DUMMYFUNCTION("""COMPUTED_VALUE"""),"João Pessoa")</f>
        <v>João Pessoa</v>
      </c>
      <c r="D533" s="24" t="str">
        <f>IFERROR(__xludf.DUMMYFUNCTION("""COMPUTED_VALUE"""),"Editora da UFPB")</f>
        <v>Editora da UFPB</v>
      </c>
      <c r="E533" s="25">
        <f>IFERROR(__xludf.DUMMYFUNCTION("""COMPUTED_VALUE"""),2017.0)</f>
        <v>2017</v>
      </c>
      <c r="F533" s="24" t="str">
        <f>IFERROR(__xludf.DUMMYFUNCTION("""COMPUTED_VALUE"""),"Os trabalhos presentes neste ebook são resultado de pesquisas apresentadas durante o I SIMPÓSIO DE GLOTOPOLÍTICA E INTEGRAÇÃO REGIONAL realizado no período de 18 a 20 de novembro de 2015 no Campus I da UFPB (João Pessoa) e organizado pelo Núcleo e"&amp;" Estudos em Política e Educação Linguística (NEPEL)")</f>
        <v>Os trabalhos presentes neste ebook são resultado de pesquisas apresentadas durante o I SIMPÓSIO DE GLOTOPOLÍTICA E INTEGRAÇÃO REGIONAL realizado no período de 18 a 20 de novembro de 2015 no Campus I da UFPB (João Pessoa) e organizado pelo Núcleo e Estudos em Política e Educação Linguística (NEPEL)</v>
      </c>
      <c r="G533" s="28" t="str">
        <f>IFERROR(__xludf.DUMMYFUNCTION("""COMPUTED_VALUE"""),"978852371624 ")</f>
        <v>978852371624 </v>
      </c>
      <c r="H533" s="29" t="str">
        <f>IFERROR(__xludf.DUMMYFUNCTION("""COMPUTED_VALUE"""),"http://www.editora.ufpb.br/sistema/press5/index.php/UFPB/catalog/book/104")</f>
        <v>http://www.editora.ufpb.br/sistema/press5/index.php/UFPB/catalog/book/104</v>
      </c>
      <c r="I533" s="24" t="str">
        <f>IFERROR(__xludf.DUMMYFUNCTION("""COMPUTED_VALUE"""),"Ciências Humanas")</f>
        <v>Ciências Humanas</v>
      </c>
    </row>
    <row r="534">
      <c r="A534" s="24" t="str">
        <f>IFERROR(__xludf.DUMMYFUNCTION("""COMPUTED_VALUE"""),"Identidade cultural e expressões regionais: estudos sobre literatura, cultura e turismo ")</f>
        <v>Identidade cultural e expressões regionais: estudos sobre literatura, cultura e turismo </v>
      </c>
      <c r="B534" s="24" t="str">
        <f>IFERROR(__xludf.DUMMYFUNCTION("""COMPUTED_VALUE"""),"Maria de Lourdes Netto Simões, organizadora. ")</f>
        <v>Maria de Lourdes Netto Simões, organizadora. </v>
      </c>
      <c r="C534" s="24" t="str">
        <f>IFERROR(__xludf.DUMMYFUNCTION("""COMPUTED_VALUE"""),"Ilhéus, BA")</f>
        <v>Ilhéus, BA</v>
      </c>
      <c r="D534" s="24" t="str">
        <f>IFERROR(__xludf.DUMMYFUNCTION("""COMPUTED_VALUE"""),"Editus")</f>
        <v>Editus</v>
      </c>
      <c r="E534" s="25">
        <f>IFERROR(__xludf.DUMMYFUNCTION("""COMPUTED_VALUE"""),2006.0)</f>
        <v>2006</v>
      </c>
      <c r="F534" s="24" t="str">
        <f>IFERROR(__xludf.DUMMYFUNCTION("""COMPUTED_VALUE"""),"Identidade social; Cultura; Turismo e literatura; Regionalismo; na literatura")</f>
        <v>Identidade social; Cultura; Turismo e literatura; Regionalismo; na literatura</v>
      </c>
      <c r="G534" s="28" t="str">
        <f>IFERROR(__xludf.DUMMYFUNCTION("""COMPUTED_VALUE"""),"8574551015")</f>
        <v>8574551015</v>
      </c>
      <c r="H534" s="29" t="str">
        <f>IFERROR(__xludf.DUMMYFUNCTION("""COMPUTED_VALUE"""),"http://www.uesc.br/editora/livrosdigitais2/identidade_cultural.pdf")</f>
        <v>http://www.uesc.br/editora/livrosdigitais2/identidade_cultural.pdf</v>
      </c>
      <c r="I534" s="24" t="str">
        <f>IFERROR(__xludf.DUMMYFUNCTION("""COMPUTED_VALUE"""),"Ciências Humanas")</f>
        <v>Ciências Humanas</v>
      </c>
    </row>
    <row r="535">
      <c r="A535" s="24" t="str">
        <f>IFERROR(__xludf.DUMMYFUNCTION("""COMPUTED_VALUE"""),"Identidades e as narrativas de gênero: reflexões sobre os processos deconstrução da interculturalidade")</f>
        <v>Identidades e as narrativas de gênero: reflexões sobre os processos deconstrução da interculturalidade</v>
      </c>
      <c r="B535" s="24" t="str">
        <f>IFERROR(__xludf.DUMMYFUNCTION("""COMPUTED_VALUE"""),"organizador: Losandro Antonio Tedeschi ")</f>
        <v>organizador: Losandro Antonio Tedeschi </v>
      </c>
      <c r="C535" s="24" t="str">
        <f>IFERROR(__xludf.DUMMYFUNCTION("""COMPUTED_VALUE"""),"Dourados, MS")</f>
        <v>Dourados, MS</v>
      </c>
      <c r="D535" s="24" t="str">
        <f>IFERROR(__xludf.DUMMYFUNCTION("""COMPUTED_VALUE"""),"Ed. da UFGD")</f>
        <v>Ed. da UFGD</v>
      </c>
      <c r="E535" s="25">
        <f>IFERROR(__xludf.DUMMYFUNCTION("""COMPUTED_VALUE"""),2013.0)</f>
        <v>2013</v>
      </c>
      <c r="F535" s="24" t="str">
        <f>IFERROR(__xludf.DUMMYFUNCTION("""COMPUTED_VALUE"""),"Interculturalidade; Relações de gênero")</f>
        <v>Interculturalidade; Relações de gênero</v>
      </c>
      <c r="G535" s="28" t="str">
        <f>IFERROR(__xludf.DUMMYFUNCTION("""COMPUTED_VALUE"""),"9788581470665")</f>
        <v>9788581470665</v>
      </c>
      <c r="H535" s="29" t="str">
        <f>IFERROR(__xludf.DUMMYFUNCTION("""COMPUTED_VALUE"""),"http://omp.ufgd.edu.br/omp/index.php/livrosabertos/catalog/view/223/129/409-1")</f>
        <v>http://omp.ufgd.edu.br/omp/index.php/livrosabertos/catalog/view/223/129/409-1</v>
      </c>
      <c r="I535" s="24" t="str">
        <f>IFERROR(__xludf.DUMMYFUNCTION("""COMPUTED_VALUE"""),"Ciências Humanas")</f>
        <v>Ciências Humanas</v>
      </c>
    </row>
    <row r="536">
      <c r="A536" s="24" t="str">
        <f>IFERROR(__xludf.DUMMYFUNCTION("""COMPUTED_VALUE"""),"Identidades em rede: um estudo etnográfico entre quilombolas e pomeranos na Serra dos Tapes")</f>
        <v>Identidades em rede: um estudo etnográfico entre quilombolas e pomeranos na Serra dos Tapes</v>
      </c>
      <c r="B536" s="24" t="str">
        <f>IFERROR(__xludf.DUMMYFUNCTION("""COMPUTED_VALUE"""),"Schneider, Maurício")</f>
        <v>Schneider, Maurício</v>
      </c>
      <c r="C536" s="24" t="str">
        <f>IFERROR(__xludf.DUMMYFUNCTION("""COMPUTED_VALUE"""),"Pelotas")</f>
        <v>Pelotas</v>
      </c>
      <c r="D536" s="24" t="str">
        <f>IFERROR(__xludf.DUMMYFUNCTION("""COMPUTED_VALUE"""),"UFPel")</f>
        <v>UFPel</v>
      </c>
      <c r="E536" s="25">
        <f>IFERROR(__xludf.DUMMYFUNCTION("""COMPUTED_VALUE"""),2017.0)</f>
        <v>2017</v>
      </c>
      <c r="F536" s="24" t="str">
        <f>IFERROR(__xludf.DUMMYFUNCTION("""COMPUTED_VALUE"""),"Etnografia; Relações étnicas; Quilombolas; Pomeranos; Serra dos Tapes")</f>
        <v>Etnografia; Relações étnicas; Quilombolas; Pomeranos; Serra dos Tapes</v>
      </c>
      <c r="G536" s="28" t="str">
        <f>IFERROR(__xludf.DUMMYFUNCTION("""COMPUTED_VALUE"""),"978855170051")</f>
        <v>978855170051</v>
      </c>
      <c r="H536" s="29" t="str">
        <f>IFERROR(__xludf.DUMMYFUNCTION("""COMPUTED_VALUE"""),"http://repositorio.ufpel.edu.br:8080/bitstream/prefix/3811/1/2_IDENTIDADES%20EM%20REDE_S%c3%89RIE%20P%c3%93S%20GRADUA%c3%87%c3%83O.pdf")</f>
        <v>http://repositorio.ufpel.edu.br:8080/bitstream/prefix/3811/1/2_IDENTIDADES%20EM%20REDE_S%c3%89RIE%20P%c3%93S%20GRADUA%c3%87%c3%83O.pdf</v>
      </c>
      <c r="I536" s="24" t="str">
        <f>IFERROR(__xludf.DUMMYFUNCTION("""COMPUTED_VALUE"""),"Ciências Humanas")</f>
        <v>Ciências Humanas</v>
      </c>
    </row>
    <row r="537">
      <c r="A537" s="24" t="str">
        <f>IFERROR(__xludf.DUMMYFUNCTION("""COMPUTED_VALUE"""),"Ideologia e Utopia nos Anos 60: Um olhar Feminino")</f>
        <v>Ideologia e Utopia nos Anos 60: Um olhar Feminino</v>
      </c>
      <c r="B537" s="24" t="str">
        <f>IFERROR(__xludf.DUMMYFUNCTION("""COMPUTED_VALUE"""),"Lia Faria")</f>
        <v>Lia Faria</v>
      </c>
      <c r="C537" s="24" t="str">
        <f>IFERROR(__xludf.DUMMYFUNCTION("""COMPUTED_VALUE"""),"Rio de Janeiro")</f>
        <v>Rio de Janeiro</v>
      </c>
      <c r="D537" s="24" t="str">
        <f>IFERROR(__xludf.DUMMYFUNCTION("""COMPUTED_VALUE"""),"EdUERJ")</f>
        <v>EdUERJ</v>
      </c>
      <c r="E537" s="25">
        <f>IFERROR(__xludf.DUMMYFUNCTION("""COMPUTED_VALUE"""),1997.0)</f>
        <v>1997</v>
      </c>
      <c r="F537" s="24" t="str">
        <f>IFERROR(__xludf.DUMMYFUNCTION("""COMPUTED_VALUE"""),"Mulheres; Condições sociais; Ideologia; Utopia")</f>
        <v>Mulheres; Condições sociais; Ideologia; Utopia</v>
      </c>
      <c r="G537" s="28" t="str">
        <f>IFERROR(__xludf.DUMMYFUNCTION("""COMPUTED_VALUE"""),"8585881291")</f>
        <v>8585881291</v>
      </c>
      <c r="H537" s="29" t="str">
        <f>IFERROR(__xludf.DUMMYFUNCTION("""COMPUTED_VALUE"""),"https://www.eduerj.com/eng/?product=ideologia-e-utopia-nos-anos-60-um-olhar-feminino")</f>
        <v>https://www.eduerj.com/eng/?product=ideologia-e-utopia-nos-anos-60-um-olhar-feminino</v>
      </c>
      <c r="I537" s="24" t="str">
        <f>IFERROR(__xludf.DUMMYFUNCTION("""COMPUTED_VALUE"""),"Ciências Humanas")</f>
        <v>Ciências Humanas</v>
      </c>
    </row>
    <row r="538">
      <c r="A538" s="24" t="str">
        <f>IFERROR(__xludf.DUMMYFUNCTION("""COMPUTED_VALUE"""),"Igreja gay: inclusiva e pentecostal")</f>
        <v>Igreja gay: inclusiva e pentecostal</v>
      </c>
      <c r="B538" s="24" t="str">
        <f>IFERROR(__xludf.DUMMYFUNCTION("""COMPUTED_VALUE"""),"Regiane Aparecida de Lima; Fabio Lanza; Luis Gustavo Patrocino")</f>
        <v>Regiane Aparecida de Lima; Fabio Lanza; Luis Gustavo Patrocino</v>
      </c>
      <c r="C538" s="24" t="str">
        <f>IFERROR(__xludf.DUMMYFUNCTION("""COMPUTED_VALUE"""),"Macapá")</f>
        <v>Macapá</v>
      </c>
      <c r="D538" s="24" t="str">
        <f>IFERROR(__xludf.DUMMYFUNCTION("""COMPUTED_VALUE"""),"UNIFAP")</f>
        <v>UNIFAP</v>
      </c>
      <c r="E538" s="25">
        <f>IFERROR(__xludf.DUMMYFUNCTION("""COMPUTED_VALUE"""),2018.0)</f>
        <v>2018</v>
      </c>
      <c r="F538" s="24" t="str">
        <f>IFERROR(__xludf.DUMMYFUNCTION("""COMPUTED_VALUE"""),"Religião; Igreja Pentecostal; Gênero")</f>
        <v>Religião; Igreja Pentecostal; Gênero</v>
      </c>
      <c r="G538" s="28" t="str">
        <f>IFERROR(__xludf.DUMMYFUNCTION("""COMPUTED_VALUE"""),"9788554760533")</f>
        <v>9788554760533</v>
      </c>
      <c r="H538" s="29" t="str">
        <f>IFERROR(__xludf.DUMMYFUNCTION("""COMPUTED_VALUE"""),"https://www2.unifap.br/editora/files/2020/07/igreja-gay.pdf")</f>
        <v>https://www2.unifap.br/editora/files/2020/07/igreja-gay.pdf</v>
      </c>
      <c r="I538" s="24" t="str">
        <f>IFERROR(__xludf.DUMMYFUNCTION("""COMPUTED_VALUE"""),"Ciências Humanas")</f>
        <v>Ciências Humanas</v>
      </c>
    </row>
    <row r="539">
      <c r="A539" s="24" t="str">
        <f>IFERROR(__xludf.DUMMYFUNCTION("""COMPUTED_VALUE"""),"Imagens da formação docente: o estágio e a prática educativa")</f>
        <v>Imagens da formação docente: o estágio e a prática educativa</v>
      </c>
      <c r="B539" s="24" t="str">
        <f>IFERROR(__xludf.DUMMYFUNCTION("""COMPUTED_VALUE"""),"Marilza Vanessa Rosa Suanno; Carlos Cardoso Silva; Luciana Freire Ernesto Coelho Pereira Sousa; João Henrique Suanno (org.)")</f>
        <v>Marilza Vanessa Rosa Suanno; Carlos Cardoso Silva; Luciana Freire Ernesto Coelho Pereira Sousa; João Henrique Suanno (org.)</v>
      </c>
      <c r="C539" s="24" t="str">
        <f>IFERROR(__xludf.DUMMYFUNCTION("""COMPUTED_VALUE"""),"Anápolis")</f>
        <v>Anápolis</v>
      </c>
      <c r="D539" s="24" t="str">
        <f>IFERROR(__xludf.DUMMYFUNCTION("""COMPUTED_VALUE"""),"UEG")</f>
        <v>UEG</v>
      </c>
      <c r="E539" s="25">
        <f>IFERROR(__xludf.DUMMYFUNCTION("""COMPUTED_VALUE"""),2019.0)</f>
        <v>2019</v>
      </c>
      <c r="F539" s="24" t="str">
        <f>IFERROR(__xludf.DUMMYFUNCTION("""COMPUTED_VALUE"""),"Didática; Ensino;Estágio – Prática Docente")</f>
        <v>Didática; Ensino;Estágio – Prática Docente</v>
      </c>
      <c r="G539" s="28" t="str">
        <f>IFERROR(__xludf.DUMMYFUNCTION("""COMPUTED_VALUE"""),"9788555820625")</f>
        <v>9788555820625</v>
      </c>
      <c r="H539" s="29" t="str">
        <f>IFERROR(__xludf.DUMMYFUNCTION("""COMPUTED_VALUE"""),"http://cdn.ueg.edu.br/source/editora_ueg/conteudo_compartilhado/10955/ebook_imagens_da_formacao_docente_2019.pdf")</f>
        <v>http://cdn.ueg.edu.br/source/editora_ueg/conteudo_compartilhado/10955/ebook_imagens_da_formacao_docente_2019.pdf</v>
      </c>
      <c r="I539" s="24" t="str">
        <f>IFERROR(__xludf.DUMMYFUNCTION("""COMPUTED_VALUE"""),"Ciências Humanas")</f>
        <v>Ciências Humanas</v>
      </c>
    </row>
    <row r="540">
      <c r="A540" s="24" t="str">
        <f>IFERROR(__xludf.DUMMYFUNCTION("""COMPUTED_VALUE"""),"Imagens, Geograias e Educação: intenções, dispersões e articulações ")</f>
        <v>Imagens, Geograias e Educação: intenções, dispersões e articulações </v>
      </c>
      <c r="B540" s="24" t="str">
        <f>IFERROR(__xludf.DUMMYFUNCTION("""COMPUTED_VALUE"""),"Cláudio Benito Oliveira Ferraz, Flaviana Gasparotti Nunes organizadores")</f>
        <v>Cláudio Benito Oliveira Ferraz, Flaviana Gasparotti Nunes organizadores</v>
      </c>
      <c r="C540" s="24" t="str">
        <f>IFERROR(__xludf.DUMMYFUNCTION("""COMPUTED_VALUE"""),"Dourados, MS")</f>
        <v>Dourados, MS</v>
      </c>
      <c r="D540" s="24" t="str">
        <f>IFERROR(__xludf.DUMMYFUNCTION("""COMPUTED_VALUE"""),"Ed. da UFGD")</f>
        <v>Ed. da UFGD</v>
      </c>
      <c r="E540" s="25">
        <f>IFERROR(__xludf.DUMMYFUNCTION("""COMPUTED_VALUE"""),2013.0)</f>
        <v>2013</v>
      </c>
      <c r="F540" s="24" t="str">
        <f>IFERROR(__xludf.DUMMYFUNCTION("""COMPUTED_VALUE"""),"Professores – Formação; Educação; Ensino da Geograia")</f>
        <v>Professores – Formação; Educação; Ensino da Geograia</v>
      </c>
      <c r="G540" s="28" t="str">
        <f>IFERROR(__xludf.DUMMYFUNCTION("""COMPUTED_VALUE"""),"9788581470542")</f>
        <v>9788581470542</v>
      </c>
      <c r="H540" s="29" t="str">
        <f>IFERROR(__xludf.DUMMYFUNCTION("""COMPUTED_VALUE"""),"http://omp.ufgd.edu.br/omp/index.php/livrosabertos/catalog/view/237/126/406-1")</f>
        <v>http://omp.ufgd.edu.br/omp/index.php/livrosabertos/catalog/view/237/126/406-1</v>
      </c>
      <c r="I540" s="24" t="str">
        <f>IFERROR(__xludf.DUMMYFUNCTION("""COMPUTED_VALUE"""),"Ciências Humanas")</f>
        <v>Ciências Humanas</v>
      </c>
    </row>
    <row r="541">
      <c r="A541" s="24" t="str">
        <f>IFERROR(__xludf.DUMMYFUNCTION("""COMPUTED_VALUE"""),"Imaginário Da Serpente De A A Z")</f>
        <v>Imaginário Da Serpente De A A Z</v>
      </c>
      <c r="B541" s="24" t="str">
        <f>IFERROR(__xludf.DUMMYFUNCTION("""COMPUTED_VALUE"""),"Maria Goretti Ribeiro")</f>
        <v>Maria Goretti Ribeiro</v>
      </c>
      <c r="C541" s="24" t="str">
        <f>IFERROR(__xludf.DUMMYFUNCTION("""COMPUTED_VALUE"""),"Campina Grande")</f>
        <v>Campina Grande</v>
      </c>
      <c r="D541" s="24" t="str">
        <f>IFERROR(__xludf.DUMMYFUNCTION("""COMPUTED_VALUE"""),"EDUEPB")</f>
        <v>EDUEPB</v>
      </c>
      <c r="E541" s="25">
        <f>IFERROR(__xludf.DUMMYFUNCTION("""COMPUTED_VALUE"""),2017.0)</f>
        <v>2017</v>
      </c>
      <c r="F541" s="24" t="str">
        <f>IFERROR(__xludf.DUMMYFUNCTION("""COMPUTED_VALUE"""),"Dicionário de símbolos. Serpentes na arte, cultura e religião. Animal e natureza. Bem e mal")</f>
        <v>Dicionário de símbolos. Serpentes na arte, cultura e religião. Animal e natureza. Bem e mal</v>
      </c>
      <c r="G541" s="28" t="str">
        <f>IFERROR(__xludf.DUMMYFUNCTION("""COMPUTED_VALUE"""),"9788578793739")</f>
        <v>9788578793739</v>
      </c>
      <c r="H541" s="29" t="str">
        <f>IFERROR(__xludf.DUMMYFUNCTION("""COMPUTED_VALUE"""),"http://eduepb.uepb.edu.br/download/imaginario-da-serpente-de-a-a-z/?wpdmdl=189&amp;amp;masterkey=5af99b7896789")</f>
        <v>http://eduepb.uepb.edu.br/download/imaginario-da-serpente-de-a-a-z/?wpdmdl=189&amp;amp;masterkey=5af99b7896789</v>
      </c>
      <c r="I541" s="24" t="str">
        <f>IFERROR(__xludf.DUMMYFUNCTION("""COMPUTED_VALUE"""),"Ciências Humanas")</f>
        <v>Ciências Humanas</v>
      </c>
    </row>
    <row r="542">
      <c r="A542" s="24" t="str">
        <f>IFERROR(__xludf.DUMMYFUNCTION("""COMPUTED_VALUE"""),"Imaginários e dramas sociais: estudos de significação")</f>
        <v>Imaginários e dramas sociais: estudos de significação</v>
      </c>
      <c r="B542" s="24" t="str">
        <f>IFERROR(__xludf.DUMMYFUNCTION("""COMPUTED_VALUE"""),"José Carlos Rodrigues")</f>
        <v>José Carlos Rodrigues</v>
      </c>
      <c r="C542" s="24" t="str">
        <f>IFERROR(__xludf.DUMMYFUNCTION("""COMPUTED_VALUE"""),"Rio de Janeiro")</f>
        <v>Rio de Janeiro</v>
      </c>
      <c r="D542" s="24" t="str">
        <f>IFERROR(__xludf.DUMMYFUNCTION("""COMPUTED_VALUE"""),"Editora PUC Rio")</f>
        <v>Editora PUC Rio</v>
      </c>
      <c r="E542" s="25">
        <f>IFERROR(__xludf.DUMMYFUNCTION("""COMPUTED_VALUE"""),2015.0)</f>
        <v>2015</v>
      </c>
      <c r="F542" s="24" t="str">
        <f>IFERROR(__xludf.DUMMYFUNCTION("""COMPUTED_VALUE"""),"Comunicação e cultura. Significação (Filosofia). Antropologia. Morte - Aspectos sociais")</f>
        <v>Comunicação e cultura. Significação (Filosofia). Antropologia. Morte - Aspectos sociais</v>
      </c>
      <c r="G542" s="28" t="str">
        <f>IFERROR(__xludf.DUMMYFUNCTION("""COMPUTED_VALUE"""),"9788580061796")</f>
        <v>9788580061796</v>
      </c>
      <c r="H542" s="29" t="str">
        <f>IFERROR(__xludf.DUMMYFUNCTION("""COMPUTED_VALUE"""),"http://www.editora.puc-rio.br/media/Ebook%20Imagin%C3%A1rios%20e%20dramas%20sociais.pdf")</f>
        <v>http://www.editora.puc-rio.br/media/Ebook%20Imagin%C3%A1rios%20e%20dramas%20sociais.pdf</v>
      </c>
      <c r="I542" s="24" t="str">
        <f>IFERROR(__xludf.DUMMYFUNCTION("""COMPUTED_VALUE"""),"Ciências Humanas")</f>
        <v>Ciências Humanas</v>
      </c>
    </row>
    <row r="543">
      <c r="A543" s="24" t="str">
        <f>IFERROR(__xludf.DUMMYFUNCTION("""COMPUTED_VALUE"""),"IME: O sonho de Eusínio Lavigne 1939-1999: 60 anos de história ")</f>
        <v>IME: O sonho de Eusínio Lavigne 1939-1999: 60 anos de história </v>
      </c>
      <c r="B543" s="24" t="str">
        <f>IFERROR(__xludf.DUMMYFUNCTION("""COMPUTED_VALUE"""),"Maria Luiza Heine")</f>
        <v>Maria Luiza Heine</v>
      </c>
      <c r="C543" s="24"/>
      <c r="D543" s="24" t="str">
        <f>IFERROR(__xludf.DUMMYFUNCTION("""COMPUTED_VALUE"""),"Editus")</f>
        <v>Editus</v>
      </c>
      <c r="E543" s="25">
        <f>IFERROR(__xludf.DUMMYFUNCTION("""COMPUTED_VALUE"""),2000.0)</f>
        <v>2000</v>
      </c>
      <c r="F543" s="24" t="str">
        <f>IFERROR(__xludf.DUMMYFUNCTION("""COMPUTED_VALUE"""),"Instituto Municipal Eusínio Lavigne - História - Ilhéus; Educação - História - Ilhéus ")</f>
        <v>Instituto Municipal Eusínio Lavigne - História - Ilhéus; Educação - História - Ilhéus </v>
      </c>
      <c r="G543" s="26"/>
      <c r="H543" s="29" t="str">
        <f>IFERROR(__xludf.DUMMYFUNCTION("""COMPUTED_VALUE"""),"http://www.uesc.br/editora/livrosdigitais_20141023/ime.pdf")</f>
        <v>http://www.uesc.br/editora/livrosdigitais_20141023/ime.pdf</v>
      </c>
      <c r="I543" s="24" t="str">
        <f>IFERROR(__xludf.DUMMYFUNCTION("""COMPUTED_VALUE"""),"Ciências Humanas")</f>
        <v>Ciências Humanas</v>
      </c>
    </row>
    <row r="544">
      <c r="A544" s="24" t="str">
        <f>IFERROR(__xludf.DUMMYFUNCTION("""COMPUTED_VALUE"""),"Impactos da avaliação na educação superior.")</f>
        <v>Impactos da avaliação na educação superior.</v>
      </c>
      <c r="B544" s="24" t="str">
        <f>IFERROR(__xludf.DUMMYFUNCTION("""COMPUTED_VALUE"""),"Giselle Cristina Martins")</f>
        <v>Giselle Cristina Martins</v>
      </c>
      <c r="C544" s="24" t="str">
        <f>IFERROR(__xludf.DUMMYFUNCTION("""COMPUTED_VALUE"""),"Dourados, MS")</f>
        <v>Dourados, MS</v>
      </c>
      <c r="D544" s="24" t="str">
        <f>IFERROR(__xludf.DUMMYFUNCTION("""COMPUTED_VALUE"""),"Ed. UFGD")</f>
        <v>Ed. UFGD</v>
      </c>
      <c r="E544" s="25">
        <f>IFERROR(__xludf.DUMMYFUNCTION("""COMPUTED_VALUE"""),2008.0)</f>
        <v>2008</v>
      </c>
      <c r="F544" s="24" t="str">
        <f>IFERROR(__xludf.DUMMYFUNCTION("""COMPUTED_VALUE"""),"Ensino superior – Avaliação; Universidades e faculdades – Avaliação - Brasil; Política educacional; Avaliação educacional")</f>
        <v>Ensino superior – Avaliação; Universidades e faculdades – Avaliação - Brasil; Política educacional; Avaliação educacional</v>
      </c>
      <c r="G544" s="28" t="str">
        <f>IFERROR(__xludf.DUMMYFUNCTION("""COMPUTED_VALUE"""),"9788561228101")</f>
        <v>9788561228101</v>
      </c>
      <c r="H544" s="29" t="str">
        <f>IFERROR(__xludf.DUMMYFUNCTION("""COMPUTED_VALUE"""),"http://omp.ufgd.edu.br/omp/index.php/livrosabertos/catalog/view/123/220/501-1")</f>
        <v>http://omp.ufgd.edu.br/omp/index.php/livrosabertos/catalog/view/123/220/501-1</v>
      </c>
      <c r="I544" s="24" t="str">
        <f>IFERROR(__xludf.DUMMYFUNCTION("""COMPUTED_VALUE"""),"Ciências Humanas")</f>
        <v>Ciências Humanas</v>
      </c>
    </row>
    <row r="545">
      <c r="A545" s="24" t="str">
        <f>IFERROR(__xludf.DUMMYFUNCTION("""COMPUTED_VALUE"""),"IMPÉRIO: ESCRITOS DE HISTÓRIA LABORHIS - SÉRIE MONOGRÁFICA")</f>
        <v>IMPÉRIO: ESCRITOS DE HISTÓRIA LABORHIS - SÉRIE MONOGRÁFICA</v>
      </c>
      <c r="B545" s="24" t="str">
        <f>IFERROR(__xludf.DUMMYFUNCTION("""COMPUTED_VALUE"""),"Claúdia Engler, Serioja Rodrigues Cordeiro Marino. ")</f>
        <v>Claúdia Engler, Serioja Rodrigues Cordeiro Marino. </v>
      </c>
      <c r="C545" s="24" t="str">
        <f>IFERROR(__xludf.DUMMYFUNCTION("""COMPUTED_VALUE"""),"João Pessoa")</f>
        <v>João Pessoa</v>
      </c>
      <c r="D545" s="24" t="str">
        <f>IFERROR(__xludf.DUMMYFUNCTION("""COMPUTED_VALUE"""),"Editora da UFPB")</f>
        <v>Editora da UFPB</v>
      </c>
      <c r="E545" s="25">
        <f>IFERROR(__xludf.DUMMYFUNCTION("""COMPUTED_VALUE"""),2017.0)</f>
        <v>2017</v>
      </c>
      <c r="F545" s="24" t="str">
        <f>IFERROR(__xludf.DUMMYFUNCTION("""COMPUTED_VALUE"""),"História")</f>
        <v>História</v>
      </c>
      <c r="G545" s="28" t="str">
        <f>IFERROR(__xludf.DUMMYFUNCTION("""COMPUTED_VALUE"""),"9788523711955")</f>
        <v>9788523711955</v>
      </c>
      <c r="H545" s="29" t="str">
        <f>IFERROR(__xludf.DUMMYFUNCTION("""COMPUTED_VALUE"""),"http://www.editora.ufpb.br/sistema/press5/index.php/UFPB/catalog/book/110")</f>
        <v>http://www.editora.ufpb.br/sistema/press5/index.php/UFPB/catalog/book/110</v>
      </c>
      <c r="I545" s="24" t="str">
        <f>IFERROR(__xludf.DUMMYFUNCTION("""COMPUTED_VALUE"""),"Ciências Humanas")</f>
        <v>Ciências Humanas</v>
      </c>
    </row>
    <row r="546">
      <c r="A546" s="24" t="str">
        <f>IFERROR(__xludf.DUMMYFUNCTION("""COMPUTED_VALUE"""),"Imprensa e ensino: catálogo de fontes para o estudo dahistória da educação mato-grossense")</f>
        <v>Imprensa e ensino: catálogo de fontes para o estudo dahistória da educação mato-grossense</v>
      </c>
      <c r="B546" s="24" t="str">
        <f>IFERROR(__xludf.DUMMYFUNCTION("""COMPUTED_VALUE"""),"Adriana Aparecida Pinto")</f>
        <v>Adriana Aparecida Pinto</v>
      </c>
      <c r="C546" s="24" t="str">
        <f>IFERROR(__xludf.DUMMYFUNCTION("""COMPUTED_VALUE"""),"Dourados, MS")</f>
        <v>Dourados, MS</v>
      </c>
      <c r="D546" s="24" t="str">
        <f>IFERROR(__xludf.DUMMYFUNCTION("""COMPUTED_VALUE"""),"Ed. da UFGD")</f>
        <v>Ed. da UFGD</v>
      </c>
      <c r="E546" s="25">
        <f>IFERROR(__xludf.DUMMYFUNCTION("""COMPUTED_VALUE"""),2017.0)</f>
        <v>2017</v>
      </c>
      <c r="F546" s="24" t="str">
        <f>IFERROR(__xludf.DUMMYFUNCTION("""COMPUTED_VALUE"""),"Instituições escolares; História da educação emMato Grosso do Sul; Imprensa e impressos denatureza educativa")</f>
        <v>Instituições escolares; História da educação emMato Grosso do Sul; Imprensa e impressos denatureza educativa</v>
      </c>
      <c r="G546" s="28" t="str">
        <f>IFERROR(__xludf.DUMMYFUNCTION("""COMPUTED_VALUE"""),"9788581471334")</f>
        <v>9788581471334</v>
      </c>
      <c r="H546" s="29" t="str">
        <f>IFERROR(__xludf.DUMMYFUNCTION("""COMPUTED_VALUE"""),"http://omp.ufgd.edu.br/omp/index.php/livrosabertos/catalog/view/124/219/500-1")</f>
        <v>http://omp.ufgd.edu.br/omp/index.php/livrosabertos/catalog/view/124/219/500-1</v>
      </c>
      <c r="I546" s="24" t="str">
        <f>IFERROR(__xludf.DUMMYFUNCTION("""COMPUTED_VALUE"""),"Ciências Humanas")</f>
        <v>Ciências Humanas</v>
      </c>
    </row>
    <row r="547">
      <c r="A547" s="24" t="str">
        <f>IFERROR(__xludf.DUMMYFUNCTION("""COMPUTED_VALUE"""),"In memoriam: urbanismo, literatura e morte")</f>
        <v>In memoriam: urbanismo, literatura e morte</v>
      </c>
      <c r="B547" s="24" t="str">
        <f>IFERROR(__xludf.DUMMYFUNCTION("""COMPUTED_VALUE"""),"André Luiz Rosa Ribeiro")</f>
        <v>André Luiz Rosa Ribeiro</v>
      </c>
      <c r="C547" s="24" t="str">
        <f>IFERROR(__xludf.DUMMYFUNCTION("""COMPUTED_VALUE"""),"Ilhéus, BA")</f>
        <v>Ilhéus, BA</v>
      </c>
      <c r="D547" s="24" t="str">
        <f>IFERROR(__xludf.DUMMYFUNCTION("""COMPUTED_VALUE"""),"Editus")</f>
        <v>Editus</v>
      </c>
      <c r="E547" s="25">
        <f>IFERROR(__xludf.DUMMYFUNCTION("""COMPUTED_VALUE"""),2017.0)</f>
        <v>2017</v>
      </c>
      <c r="F547" s="24" t="str">
        <f>IFERROR(__xludf.DUMMYFUNCTION("""COMPUTED_VALUE"""),"Ilhéus (BA) – História; Zoneamento –; Itabuna (BA); Morte – Aspectos sociais; Cemitérios – Aspectos simbólicos; Memória; coletiva – Bahia")</f>
        <v>Ilhéus (BA) – História; Zoneamento –; Itabuna (BA); Morte – Aspectos sociais; Cemitérios – Aspectos simbólicos; Memória; coletiva – Bahia</v>
      </c>
      <c r="G547" s="28" t="str">
        <f>IFERROR(__xludf.DUMMYFUNCTION("""COMPUTED_VALUE"""),"9788574554501")</f>
        <v>9788574554501</v>
      </c>
      <c r="H547" s="29" t="str">
        <f>IFERROR(__xludf.DUMMYFUNCTION("""COMPUTED_VALUE"""),"http://www.uesc.br/editora/livrosdigitais2020/in_memoriam.pdf")</f>
        <v>http://www.uesc.br/editora/livrosdigitais2020/in_memoriam.pdf</v>
      </c>
      <c r="I547" s="24" t="str">
        <f>IFERROR(__xludf.DUMMYFUNCTION("""COMPUTED_VALUE"""),"Ciências Humanas")</f>
        <v>Ciências Humanas</v>
      </c>
    </row>
    <row r="548">
      <c r="A548" s="24" t="str">
        <f>IFERROR(__xludf.DUMMYFUNCTION("""COMPUTED_VALUE"""),"Inclusão educacional e educação especial: múltiplos olhares e diversas contribuições")</f>
        <v>Inclusão educacional e educação especial: múltiplos olhares e diversas contribuições</v>
      </c>
      <c r="B548" s="24" t="str">
        <f>IFERROR(__xludf.DUMMYFUNCTION("""COMPUTED_VALUE"""),"Cláudia Dechichi, Juliene Madureira Ferreira, Lázara Cristina da Silva organizadoras.")</f>
        <v>Cláudia Dechichi, Juliene Madureira Ferreira, Lázara Cristina da Silva organizadoras.</v>
      </c>
      <c r="C548" s="24" t="str">
        <f>IFERROR(__xludf.DUMMYFUNCTION("""COMPUTED_VALUE"""),"Uberlândia")</f>
        <v>Uberlândia</v>
      </c>
      <c r="D548" s="24" t="str">
        <f>IFERROR(__xludf.DUMMYFUNCTION("""COMPUTED_VALUE"""),"EDUFU")</f>
        <v>EDUFU</v>
      </c>
      <c r="E548" s="25">
        <f>IFERROR(__xludf.DUMMYFUNCTION("""COMPUTED_VALUE"""),2013.0)</f>
        <v>2013</v>
      </c>
      <c r="F548" s="24" t="str">
        <f>IFERROR(__xludf.DUMMYFUNCTION("""COMPUTED_VALUE"""),"Inclusão em educação; Educação especial. I. Dechichi, Cláudia. II. Ferreira, Juliene Madureira. III. Silva, Lázara Cristina da. IV. Universi- dade Federal de Uberlândia. III. Título")</f>
        <v>Inclusão em educação; Educação especial. I. Dechichi, Cláudia. II. Ferreira, Juliene Madureira. III. Silva, Lázara Cristina da. IV. Universi- dade Federal de Uberlândia. III. Título</v>
      </c>
      <c r="G548" s="28" t="str">
        <f>IFERROR(__xludf.DUMMYFUNCTION("""COMPUTED_VALUE"""),"9788570783561")</f>
        <v>9788570783561</v>
      </c>
      <c r="H548" s="29" t="str">
        <f>IFERROR(__xludf.DUMMYFUNCTION("""COMPUTED_VALUE"""),"http://www.edufu.ufu.br/sites/edufu.ufu.br/files/e-book_educacao_especial_v4_cepae_2013_0.pdf")</f>
        <v>http://www.edufu.ufu.br/sites/edufu.ufu.br/files/e-book_educacao_especial_v4_cepae_2013_0.pdf</v>
      </c>
      <c r="I548" s="24" t="str">
        <f>IFERROR(__xludf.DUMMYFUNCTION("""COMPUTED_VALUE"""),"Ciências Humanas")</f>
        <v>Ciências Humanas</v>
      </c>
    </row>
    <row r="549">
      <c r="A549" s="24" t="str">
        <f>IFERROR(__xludf.DUMMYFUNCTION("""COMPUTED_VALUE"""),"Inclusão educacional, do discurso à realidade: construções e potencialidades nos diferentes contextos educacionais")</f>
        <v>Inclusão educacional, do discurso à realidade: construções e potencialidades nos diferentes contextos educacionais</v>
      </c>
      <c r="B549" s="24" t="str">
        <f>IFERROR(__xludf.DUMMYFUNCTION("""COMPUTED_VALUE"""),"Lázara Cristina da Silva, Cláudia Dechichi, Vilma Aparecida de Souza, organizadoras")</f>
        <v>Lázara Cristina da Silva, Cláudia Dechichi, Vilma Aparecida de Souza, organizadoras</v>
      </c>
      <c r="C549" s="24" t="str">
        <f>IFERROR(__xludf.DUMMYFUNCTION("""COMPUTED_VALUE"""),"Uberlândia")</f>
        <v>Uberlândia</v>
      </c>
      <c r="D549" s="24" t="str">
        <f>IFERROR(__xludf.DUMMYFUNCTION("""COMPUTED_VALUE"""),"EDUFU")</f>
        <v>EDUFU</v>
      </c>
      <c r="E549" s="25">
        <f>IFERROR(__xludf.DUMMYFUNCTION("""COMPUTED_VALUE"""),2012.0)</f>
        <v>2012</v>
      </c>
      <c r="F549" s="24" t="str">
        <f>IFERROR(__xludf.DUMMYFUNCTION("""COMPUTED_VALUE"""),"Inclusão em educação; Educação especial. I. Silva, Lázara Cristina da. II. Dechichi, Cláudia. III. Souza, Vilma Aparecida de. IV. Universidade Federal de Uberlândia. V. Série")</f>
        <v>Inclusão em educação; Educação especial. I. Silva, Lázara Cristina da. II. Dechichi, Cláudia. III. Souza, Vilma Aparecida de. IV. Universidade Federal de Uberlândia. V. Série</v>
      </c>
      <c r="G549" s="28" t="str">
        <f>IFERROR(__xludf.DUMMYFUNCTION("""COMPUTED_VALUE"""),"9788570783271")</f>
        <v>9788570783271</v>
      </c>
      <c r="H549" s="29" t="str">
        <f>IFERROR(__xludf.DUMMYFUNCTION("""COMPUTED_VALUE"""),"http://www.edufu.ufu.br/sites/edufu.ufu.br/files/e-book_educacao_especial_e_inclusao_educacional_v2_2012_0.pdf")</f>
        <v>http://www.edufu.ufu.br/sites/edufu.ufu.br/files/e-book_educacao_especial_e_inclusao_educacional_v2_2012_0.pdf</v>
      </c>
      <c r="I549" s="24" t="str">
        <f>IFERROR(__xludf.DUMMYFUNCTION("""COMPUTED_VALUE"""),"Ciências Humanas")</f>
        <v>Ciências Humanas</v>
      </c>
    </row>
    <row r="550">
      <c r="A550" s="24" t="str">
        <f>IFERROR(__xludf.DUMMYFUNCTION("""COMPUTED_VALUE"""),"Inclusão escolar e educação especial: teoria e prática na diversidade")</f>
        <v>Inclusão escolar e educação especial: teoria e prática na diversidade</v>
      </c>
      <c r="B550" s="24" t="str">
        <f>IFERROR(__xludf.DUMMYFUNCTION("""COMPUTED_VALUE"""),"Claudia Dechichi, Lázara Cristina da Silva e colaboradores.")</f>
        <v>Claudia Dechichi, Lázara Cristina da Silva e colaboradores.</v>
      </c>
      <c r="C550" s="24" t="str">
        <f>IFERROR(__xludf.DUMMYFUNCTION("""COMPUTED_VALUE"""),"Uberlândia")</f>
        <v>Uberlândia</v>
      </c>
      <c r="D550" s="24" t="str">
        <f>IFERROR(__xludf.DUMMYFUNCTION("""COMPUTED_VALUE"""),"EDUFU")</f>
        <v>EDUFU</v>
      </c>
      <c r="E550" s="25">
        <f>IFERROR(__xludf.DUMMYFUNCTION("""COMPUTED_VALUE"""),2008.0)</f>
        <v>2008</v>
      </c>
      <c r="F550" s="24" t="str">
        <f>IFERROR(__xludf.DUMMYFUNCTION("""COMPUTED_VALUE"""),"Inclusão em educação; Educação especial. I. Dechichi, Claudia. II. Silva, Lázara Cristina")</f>
        <v>Inclusão em educação; Educação especial. I. Dechichi, Claudia. II. Silva, Lázara Cristina</v>
      </c>
      <c r="G550" s="28" t="str">
        <f>IFERROR(__xludf.DUMMYFUNCTION("""COMPUTED_VALUE"""),"9788570781765")</f>
        <v>9788570781765</v>
      </c>
      <c r="H550" s="29" t="str">
        <f>IFERROR(__xludf.DUMMYFUNCTION("""COMPUTED_VALUE"""),"http://www.edufu.ufu.br/sites/edufu.ufu.br/files/e-book_inclusao_escolar_2008_0.pdf")</f>
        <v>http://www.edufu.ufu.br/sites/edufu.ufu.br/files/e-book_inclusao_escolar_2008_0.pdf</v>
      </c>
      <c r="I550" s="24" t="str">
        <f>IFERROR(__xludf.DUMMYFUNCTION("""COMPUTED_VALUE"""),"Ciências Humanas")</f>
        <v>Ciências Humanas</v>
      </c>
    </row>
    <row r="551">
      <c r="A551" s="24" t="str">
        <f>IFERROR(__xludf.DUMMYFUNCTION("""COMPUTED_VALUE"""),"Incursões na escrita acadêmico-universitária: letramento, discurso, enunciação")</f>
        <v>Incursões na escrita acadêmico-universitária: letramento, discurso, enunciação</v>
      </c>
      <c r="B551" s="24" t="str">
        <f>IFERROR(__xludf.DUMMYFUNCTION("""COMPUTED_VALUE"""),"Cármen Agustini,Ernesto Bertoldo, organizadores")</f>
        <v>Cármen Agustini,Ernesto Bertoldo, organizadores</v>
      </c>
      <c r="C551" s="24" t="str">
        <f>IFERROR(__xludf.DUMMYFUNCTION("""COMPUTED_VALUE"""),"Uberlândia")</f>
        <v>Uberlândia</v>
      </c>
      <c r="D551" s="24" t="str">
        <f>IFERROR(__xludf.DUMMYFUNCTION("""COMPUTED_VALUE"""),"EDUFU")</f>
        <v>EDUFU</v>
      </c>
      <c r="E551" s="25">
        <f>IFERROR(__xludf.DUMMYFUNCTION("""COMPUTED_VALUE"""),2017.0)</f>
        <v>2017</v>
      </c>
      <c r="F551" s="24" t="str">
        <f>IFERROR(__xludf.DUMMYFUNCTION("""COMPUTED_VALUE"""),"Linguística; Letramento; Enunciação.(Linguística) I.Agustini,Cármen Lúcia Hernandes.II.Bertoldo, Hernesto Sérgio,1964-III.Universidade Federal de Uberlândia.IV.Título")</f>
        <v>Linguística; Letramento; Enunciação.(Linguística) I.Agustini,Cármen Lúcia Hernandes.II.Bertoldo, Hernesto Sérgio,1964-III.Universidade Federal de Uberlândia.IV.Título</v>
      </c>
      <c r="G551" s="28" t="str">
        <f>IFERROR(__xludf.DUMMYFUNCTION("""COMPUTED_VALUE"""),"9788570784636")</f>
        <v>9788570784636</v>
      </c>
      <c r="H551" s="29" t="str">
        <f>IFERROR(__xludf.DUMMYFUNCTION("""COMPUTED_VALUE"""),"http://www.edufu.ufu.br/sites/edufu.ufu.br/files/e-book_incursoes_da_escrita_2017_0.pdf")</f>
        <v>http://www.edufu.ufu.br/sites/edufu.ufu.br/files/e-book_incursoes_da_escrita_2017_0.pdf</v>
      </c>
      <c r="I551" s="24" t="str">
        <f>IFERROR(__xludf.DUMMYFUNCTION("""COMPUTED_VALUE"""),"Ciências Humanas")</f>
        <v>Ciências Humanas</v>
      </c>
    </row>
    <row r="552">
      <c r="A552" s="24" t="str">
        <f>IFERROR(__xludf.DUMMYFUNCTION("""COMPUTED_VALUE"""),"Incursões Socioantropológicas: pesquisas de campo no Ceará")</f>
        <v>Incursões Socioantropológicas: pesquisas de campo no Ceará</v>
      </c>
      <c r="B552" s="24" t="str">
        <f>IFERROR(__xludf.DUMMYFUNCTION("""COMPUTED_VALUE"""),"Antonio Sabino da Silva Neto; Organizador")</f>
        <v>Antonio Sabino da Silva Neto; Organizador</v>
      </c>
      <c r="C552" s="24" t="str">
        <f>IFERROR(__xludf.DUMMYFUNCTION("""COMPUTED_VALUE"""),"Macapá")</f>
        <v>Macapá</v>
      </c>
      <c r="D552" s="24" t="str">
        <f>IFERROR(__xludf.DUMMYFUNCTION("""COMPUTED_VALUE"""),"UNIFAP")</f>
        <v>UNIFAP</v>
      </c>
      <c r="E552" s="25">
        <f>IFERROR(__xludf.DUMMYFUNCTION("""COMPUTED_VALUE"""),2019.0)</f>
        <v>2019</v>
      </c>
      <c r="F552" s="24" t="str">
        <f>IFERROR(__xludf.DUMMYFUNCTION("""COMPUTED_VALUE"""),"Sociologia; Antropologia; Pesquisa de Campo; Ceará")</f>
        <v>Sociologia; Antropologia; Pesquisa de Campo; Ceará</v>
      </c>
      <c r="G552" s="28" t="str">
        <f>IFERROR(__xludf.DUMMYFUNCTION("""COMPUTED_VALUE"""),"9788554760809")</f>
        <v>9788554760809</v>
      </c>
      <c r="H552" s="29" t="str">
        <f>IFERROR(__xludf.DUMMYFUNCTION("""COMPUTED_VALUE"""),"https://www2.unifap.br/editora/files/2019/07/incursoes-socioantropologicas.pdf")</f>
        <v>https://www2.unifap.br/editora/files/2019/07/incursoes-socioantropologicas.pdf</v>
      </c>
      <c r="I552" s="24" t="str">
        <f>IFERROR(__xludf.DUMMYFUNCTION("""COMPUTED_VALUE"""),"Ciências Humanas")</f>
        <v>Ciências Humanas</v>
      </c>
    </row>
    <row r="553">
      <c r="A553" s="24" t="str">
        <f>IFERROR(__xludf.DUMMYFUNCTION("""COMPUTED_VALUE"""),"Indignação e Conhecimento: para sentir-pensar o direito das Minorias")</f>
        <v>Indignação e Conhecimento: para sentir-pensar o direito das Minorias</v>
      </c>
      <c r="B553" s="24" t="str">
        <f>IFERROR(__xludf.DUMMYFUNCTION("""COMPUTED_VALUE"""),"Freitas, Raquel Coelho de ")</f>
        <v>Freitas, Raquel Coelho de </v>
      </c>
      <c r="C553" s="24" t="str">
        <f>IFERROR(__xludf.DUMMYFUNCTION("""COMPUTED_VALUE"""),"Fortaleza, CE")</f>
        <v>Fortaleza, CE</v>
      </c>
      <c r="D553" s="24" t="str">
        <f>IFERROR(__xludf.DUMMYFUNCTION("""COMPUTED_VALUE"""),"Edições UFC")</f>
        <v>Edições UFC</v>
      </c>
      <c r="E553" s="25">
        <f>IFERROR(__xludf.DUMMYFUNCTION("""COMPUTED_VALUE"""),2020.0)</f>
        <v>2020</v>
      </c>
      <c r="F553" s="24" t="str">
        <f>IFERROR(__xludf.DUMMYFUNCTION("""COMPUTED_VALUE"""),"Indignação Epistêmica. Descolonização. Exclusão social")</f>
        <v>Indignação Epistêmica. Descolonização. Exclusão social</v>
      </c>
      <c r="G553" s="28" t="str">
        <f>IFERROR(__xludf.DUMMYFUNCTION("""COMPUTED_VALUE"""),"9786587371009")</f>
        <v>9786587371009</v>
      </c>
      <c r="H553" s="29" t="str">
        <f>IFERROR(__xludf.DUMMYFUNCTION("""COMPUTED_VALUE"""),"http://www.editora.ufc.br/catalogo/47-sociologia/986-indignacao-e-conhecimento-para-pensar-o-direito-das-minorias")</f>
        <v>http://www.editora.ufc.br/catalogo/47-sociologia/986-indignacao-e-conhecimento-para-pensar-o-direito-das-minorias</v>
      </c>
      <c r="I553" s="24" t="str">
        <f>IFERROR(__xludf.DUMMYFUNCTION("""COMPUTED_VALUE"""),"Ciências Humanas")</f>
        <v>Ciências Humanas</v>
      </c>
    </row>
    <row r="554">
      <c r="A554" s="24" t="str">
        <f>IFERROR(__xludf.DUMMYFUNCTION("""COMPUTED_VALUE"""),"Industrialização do Ensino e política de educação a distância")</f>
        <v>Industrialização do Ensino e política de educação a distância</v>
      </c>
      <c r="B554" s="24" t="str">
        <f>IFERROR(__xludf.DUMMYFUNCTION("""COMPUTED_VALUE"""),"Antonio Roberto Faustino da Costa; ")</f>
        <v>Antonio Roberto Faustino da Costa; </v>
      </c>
      <c r="C554" s="24" t="str">
        <f>IFERROR(__xludf.DUMMYFUNCTION("""COMPUTED_VALUE"""),"Campina Grande")</f>
        <v>Campina Grande</v>
      </c>
      <c r="D554" s="24" t="str">
        <f>IFERROR(__xludf.DUMMYFUNCTION("""COMPUTED_VALUE"""),"EDUEPB")</f>
        <v>EDUEPB</v>
      </c>
      <c r="E554" s="25">
        <f>IFERROR(__xludf.DUMMYFUNCTION("""COMPUTED_VALUE"""),2019.0)</f>
        <v>2019</v>
      </c>
      <c r="F554" s="24" t="str">
        <f>IFERROR(__xludf.DUMMYFUNCTION("""COMPUTED_VALUE"""),"Ensino a distância; Política de educação a distância; Sistema de ensino; Industrialização")</f>
        <v>Ensino a distância; Política de educação a distância; Sistema de ensino; Industrialização</v>
      </c>
      <c r="G554" s="28" t="str">
        <f>IFERROR(__xludf.DUMMYFUNCTION("""COMPUTED_VALUE"""),"9788578793500")</f>
        <v>9788578793500</v>
      </c>
      <c r="H554" s="29" t="str">
        <f>IFERROR(__xludf.DUMMYFUNCTION("""COMPUTED_VALUE"""),"http://editora.ifpb.edu.br/index.php/ifpb/catalog/book/345")</f>
        <v>http://editora.ifpb.edu.br/index.php/ifpb/catalog/book/345</v>
      </c>
      <c r="I554" s="24" t="str">
        <f>IFERROR(__xludf.DUMMYFUNCTION("""COMPUTED_VALUE"""),"Ciências Humanas")</f>
        <v>Ciências Humanas</v>
      </c>
    </row>
    <row r="555">
      <c r="A555" s="24" t="str">
        <f>IFERROR(__xludf.DUMMYFUNCTION("""COMPUTED_VALUE"""),"Industrialização do Ensino e política de educação a distância")</f>
        <v>Industrialização do Ensino e política de educação a distância</v>
      </c>
      <c r="B555" s="24" t="str">
        <f>IFERROR(__xludf.DUMMYFUNCTION("""COMPUTED_VALUE"""),"Antonio Roberto Faustino da Costa")</f>
        <v>Antonio Roberto Faustino da Costa</v>
      </c>
      <c r="C555" s="24" t="str">
        <f>IFERROR(__xludf.DUMMYFUNCTION("""COMPUTED_VALUE"""),"Campina Grande")</f>
        <v>Campina Grande</v>
      </c>
      <c r="D555" s="24" t="str">
        <f>IFERROR(__xludf.DUMMYFUNCTION("""COMPUTED_VALUE"""),"EDUEPB")</f>
        <v>EDUEPB</v>
      </c>
      <c r="E555" s="25">
        <f>IFERROR(__xludf.DUMMYFUNCTION("""COMPUTED_VALUE"""),2019.0)</f>
        <v>2019</v>
      </c>
      <c r="F555" s="24" t="str">
        <f>IFERROR(__xludf.DUMMYFUNCTION("""COMPUTED_VALUE"""),"Ensino a distância. Política de educação a distância (EaD) - Brasil. Sistema de ensino - industrialização")</f>
        <v>Ensino a distância. Política de educação a distância (EaD) - Brasil. Sistema de ensino - industrialização</v>
      </c>
      <c r="G555" s="28" t="str">
        <f>IFERROR(__xludf.DUMMYFUNCTION("""COMPUTED_VALUE"""),"9788578793500")</f>
        <v>9788578793500</v>
      </c>
      <c r="H555" s="29" t="str">
        <f>IFERROR(__xludf.DUMMYFUNCTION("""COMPUTED_VALUE"""),"http://eduepb.uepb.edu.br/download/industrializacao-do-ensino-e-politica-de-educacao-a-distancia/?wpdmdl=978&amp;#038;masterkey=5e70edc14a474")</f>
        <v>http://eduepb.uepb.edu.br/download/industrializacao-do-ensino-e-politica-de-educacao-a-distancia/?wpdmdl=978&amp;#038;masterkey=5e70edc14a474</v>
      </c>
      <c r="I555" s="24" t="str">
        <f>IFERROR(__xludf.DUMMYFUNCTION("""COMPUTED_VALUE"""),"Ciências Humanas")</f>
        <v>Ciências Humanas</v>
      </c>
    </row>
    <row r="556">
      <c r="A556" s="24" t="str">
        <f>IFERROR(__xludf.DUMMYFUNCTION("""COMPUTED_VALUE"""),"Infâncias escoadas: estudos no setor scuroalcooleiro, nas fronteiras e na BR-163")</f>
        <v>Infâncias escoadas: estudos no setor scuroalcooleiro, nas fronteiras e na BR-163</v>
      </c>
      <c r="B556" s="24" t="str">
        <f>IFERROR(__xludf.DUMMYFUNCTION("""COMPUTED_VALUE"""),"Comitê Estadual de Enfrentamento da Violência e Deesa dos Direitos Sexuais de Crianças e Adolescentes de Mato Grosso do Sul")</f>
        <v>Comitê Estadual de Enfrentamento da Violência e Deesa dos Direitos Sexuais de Crianças e Adolescentes de Mato Grosso do Sul</v>
      </c>
      <c r="C556" s="24" t="str">
        <f>IFERROR(__xludf.DUMMYFUNCTION("""COMPUTED_VALUE"""),"Dourados, MS")</f>
        <v>Dourados, MS</v>
      </c>
      <c r="D556" s="24" t="str">
        <f>IFERROR(__xludf.DUMMYFUNCTION("""COMPUTED_VALUE"""),"Editora UEMS")</f>
        <v>Editora UEMS</v>
      </c>
      <c r="E556" s="25">
        <f>IFERROR(__xludf.DUMMYFUNCTION("""COMPUTED_VALUE"""),2016.0)</f>
        <v>2016</v>
      </c>
      <c r="F556" s="24" t="str">
        <f>IFERROR(__xludf.DUMMYFUNCTION("""COMPUTED_VALUE"""),"Crianças; Adolescente; Exploração sexual")</f>
        <v>Crianças; Adolescente; Exploração sexual</v>
      </c>
      <c r="G556" s="28" t="str">
        <f>IFERROR(__xludf.DUMMYFUNCTION("""COMPUTED_VALUE"""),"9788592863067")</f>
        <v>9788592863067</v>
      </c>
      <c r="H556" s="29" t="str">
        <f>IFERROR(__xludf.DUMMYFUNCTION("""COMPUTED_VALUE"""),"http://www.uems.br/assets/uploads/editora/arquivos/1_2016-09-14_18-27-47.pdf")</f>
        <v>http://www.uems.br/assets/uploads/editora/arquivos/1_2016-09-14_18-27-47.pdf</v>
      </c>
      <c r="I556" s="24" t="str">
        <f>IFERROR(__xludf.DUMMYFUNCTION("""COMPUTED_VALUE"""),"Ciências Humanas")</f>
        <v>Ciências Humanas</v>
      </c>
    </row>
    <row r="557">
      <c r="A557" s="24" t="str">
        <f>IFERROR(__xludf.DUMMYFUNCTION("""COMPUTED_VALUE"""),"Informática na educação: recursos de acessibilidade da comunicação")</f>
        <v>Informática na educação: recursos de acessibilidade da comunicação</v>
      </c>
      <c r="B557" s="24" t="str">
        <f>IFERROR(__xludf.DUMMYFUNCTION("""COMPUTED_VALUE"""),"Perry, Gabriela Trindade; Cardoso, Eduardo; Kulpa, Cínthia Costa ")</f>
        <v>Perry, Gabriela Trindade; Cardoso, Eduardo; Kulpa, Cínthia Costa </v>
      </c>
      <c r="C557" s="24" t="str">
        <f>IFERROR(__xludf.DUMMYFUNCTION("""COMPUTED_VALUE"""),"Porto Alegre")</f>
        <v>Porto Alegre</v>
      </c>
      <c r="D557" s="24" t="str">
        <f>IFERROR(__xludf.DUMMYFUNCTION("""COMPUTED_VALUE"""),"UFRGS")</f>
        <v>UFRGS</v>
      </c>
      <c r="E557" s="25">
        <f>IFERROR(__xludf.DUMMYFUNCTION("""COMPUTED_VALUE"""),2019.0)</f>
        <v>2019</v>
      </c>
      <c r="F557" s="24" t="str">
        <f>IFERROR(__xludf.DUMMYFUNCTION("""COMPUTED_VALUE"""),"Acessibilidade; Ambiente virtual de aprendizagem; Educação a distância; Informática na educação")</f>
        <v>Acessibilidade; Ambiente virtual de aprendizagem; Educação a distância; Informática na educação</v>
      </c>
      <c r="G557" s="28" t="str">
        <f>IFERROR(__xludf.DUMMYFUNCTION("""COMPUTED_VALUE"""),"9788538605133 (pdf) 9788538605140 (epub)")</f>
        <v>9788538605133 (pdf) 9788538605140 (epub)</v>
      </c>
      <c r="H557" s="29" t="str">
        <f>IFERROR(__xludf.DUMMYFUNCTION("""COMPUTED_VALUE"""),"http://hdl.handle.net/10183/205733")</f>
        <v>http://hdl.handle.net/10183/205733</v>
      </c>
      <c r="I557" s="24" t="str">
        <f>IFERROR(__xludf.DUMMYFUNCTION("""COMPUTED_VALUE"""),"Ciências Humanas")</f>
        <v>Ciências Humanas</v>
      </c>
    </row>
    <row r="558">
      <c r="A558" s="24" t="str">
        <f>IFERROR(__xludf.DUMMYFUNCTION("""COMPUTED_VALUE"""),"Iniciação à linguagem geográfica")</f>
        <v>Iniciação à linguagem geográfica</v>
      </c>
      <c r="B558" s="24" t="str">
        <f>IFERROR(__xludf.DUMMYFUNCTION("""COMPUTED_VALUE"""),"Coordenação de Lurdes Bertol Rocha.")</f>
        <v>Coordenação de Lurdes Bertol Rocha.</v>
      </c>
      <c r="C558" s="24" t="str">
        <f>IFERROR(__xludf.DUMMYFUNCTION("""COMPUTED_VALUE"""),"Ilhéus, BA")</f>
        <v>Ilhéus, BA</v>
      </c>
      <c r="D558" s="24" t="str">
        <f>IFERROR(__xludf.DUMMYFUNCTION("""COMPUTED_VALUE"""),"Editus")</f>
        <v>Editus</v>
      </c>
      <c r="E558" s="25">
        <f>IFERROR(__xludf.DUMMYFUNCTION("""COMPUTED_VALUE"""),1999.0)</f>
        <v>1999</v>
      </c>
      <c r="F558" s="24" t="str">
        <f>IFERROR(__xludf.DUMMYFUNCTION("""COMPUTED_VALUE"""),"Geografia - Estudo e ensino")</f>
        <v>Geografia - Estudo e ensino</v>
      </c>
      <c r="G558" s="26"/>
      <c r="H558" s="29" t="str">
        <f>IFERROR(__xludf.DUMMYFUNCTION("""COMPUTED_VALUE"""),"http://www.uesc.br/editora/livrosdigitais2015/iniciacao_a_linguagen_geografia.pdf")</f>
        <v>http://www.uesc.br/editora/livrosdigitais2015/iniciacao_a_linguagen_geografia.pdf</v>
      </c>
      <c r="I558" s="24" t="str">
        <f>IFERROR(__xludf.DUMMYFUNCTION("""COMPUTED_VALUE"""),"Ciências Humanas")</f>
        <v>Ciências Humanas</v>
      </c>
    </row>
    <row r="559">
      <c r="A559" s="24" t="str">
        <f>IFERROR(__xludf.DUMMYFUNCTION("""COMPUTED_VALUE"""),"Inserção curricular da extensão: aproximações teóricas e experiências: volume VI")</f>
        <v>Inserção curricular da extensão: aproximações teóricas e experiências: volume VI</v>
      </c>
      <c r="B559" s="24" t="str">
        <f>IFERROR(__xludf.DUMMYFUNCTION("""COMPUTED_VALUE"""),"Ceretta, Luciane Bisognin; Vieira, Reginaldo de Souza")</f>
        <v>Ceretta, Luciane Bisognin; Vieira, Reginaldo de Souza</v>
      </c>
      <c r="C559" s="24" t="str">
        <f>IFERROR(__xludf.DUMMYFUNCTION("""COMPUTED_VALUE"""),"Criciúma")</f>
        <v>Criciúma</v>
      </c>
      <c r="D559" s="24" t="str">
        <f>IFERROR(__xludf.DUMMYFUNCTION("""COMPUTED_VALUE"""),"UNESC")</f>
        <v>UNESC</v>
      </c>
      <c r="E559" s="25">
        <f>IFERROR(__xludf.DUMMYFUNCTION("""COMPUTED_VALUE"""),2019.0)</f>
        <v>2019</v>
      </c>
      <c r="F559" s="24" t="str">
        <f>IFERROR(__xludf.DUMMYFUNCTION("""COMPUTED_VALUE"""),"Extensão universitária; Currículos – Planejamento; Ensino superior")</f>
        <v>Extensão universitária; Currículos – Planejamento; Ensino superior</v>
      </c>
      <c r="G559" s="28" t="str">
        <f>IFERROR(__xludf.DUMMYFUNCTION("""COMPUTED_VALUE"""),"9788584101108")</f>
        <v>9788584101108</v>
      </c>
      <c r="H559" s="29" t="str">
        <f>IFERROR(__xludf.DUMMYFUNCTION("""COMPUTED_VALUE"""),"https://doi.org/10.18616/inser")</f>
        <v>https://doi.org/10.18616/inser</v>
      </c>
      <c r="I559" s="24" t="str">
        <f>IFERROR(__xludf.DUMMYFUNCTION("""COMPUTED_VALUE"""),"Ciências Humanas")</f>
        <v>Ciências Humanas</v>
      </c>
    </row>
    <row r="560">
      <c r="A560" s="24" t="str">
        <f>IFERROR(__xludf.DUMMYFUNCTION("""COMPUTED_VALUE"""),"Institucionalização de crianças no Brasil: percurso histórico e desafios do presente")</f>
        <v>Institucionalização de crianças no Brasil: percurso histórico e desafios do presente</v>
      </c>
      <c r="B560" s="24" t="str">
        <f>IFERROR(__xludf.DUMMYFUNCTION("""COMPUTED_VALUE"""),"Irene Rizzini e Irma Rizzini")</f>
        <v>Irene Rizzini e Irma Rizzini</v>
      </c>
      <c r="C560" s="24" t="str">
        <f>IFERROR(__xludf.DUMMYFUNCTION("""COMPUTED_VALUE"""),"Rio de Janeiro")</f>
        <v>Rio de Janeiro</v>
      </c>
      <c r="D560" s="24" t="str">
        <f>IFERROR(__xludf.DUMMYFUNCTION("""COMPUTED_VALUE"""),"Editora PUC Rio")</f>
        <v>Editora PUC Rio</v>
      </c>
      <c r="E560" s="25">
        <f>IFERROR(__xludf.DUMMYFUNCTION("""COMPUTED_VALUE"""),2004.0)</f>
        <v>2004</v>
      </c>
      <c r="F560" s="24" t="str">
        <f>IFERROR(__xludf.DUMMYFUNCTION("""COMPUTED_VALUE"""),"Assistência a menores - Brasil. Crianças – Aspectos sociais – Brasil.")</f>
        <v>Assistência a menores - Brasil. Crianças – Aspectos sociais – Brasil.</v>
      </c>
      <c r="G560" s="28" t="str">
        <f>IFERROR(__xludf.DUMMYFUNCTION("""COMPUTED_VALUE"""),"8515028816")</f>
        <v>8515028816</v>
      </c>
      <c r="H560" s="29" t="str">
        <f>IFERROR(__xludf.DUMMYFUNCTION("""COMPUTED_VALUE"""),"http://www.editora.puc-rio.br/media/ebook_institucionalizacao_de_criancas_no_brasil.pdf")</f>
        <v>http://www.editora.puc-rio.br/media/ebook_institucionalizacao_de_criancas_no_brasil.pdf</v>
      </c>
      <c r="I560" s="24" t="str">
        <f>IFERROR(__xludf.DUMMYFUNCTION("""COMPUTED_VALUE"""),"Ciências Humanas")</f>
        <v>Ciências Humanas</v>
      </c>
    </row>
    <row r="561">
      <c r="A561" s="24" t="str">
        <f>IFERROR(__xludf.DUMMYFUNCTION("""COMPUTED_VALUE"""),"Instituições Nefandas: o fim da escravidão e da servidão no Brasil, nos Estados Unidos e na Rússia")</f>
        <v>Instituições Nefandas: o fim da escravidão e da servidão no Brasil, nos Estados Unidos e na Rússia</v>
      </c>
      <c r="B561" s="24" t="str">
        <f>IFERROR(__xludf.DUMMYFUNCTION("""COMPUTED_VALUE"""),"Organizadores; Ivana Stolze Lima; Keila Grinberg; Daniel Aarão Reis")</f>
        <v>Organizadores; Ivana Stolze Lima; Keila Grinberg; Daniel Aarão Reis</v>
      </c>
      <c r="C561" s="24" t="str">
        <f>IFERROR(__xludf.DUMMYFUNCTION("""COMPUTED_VALUE"""),"Rio de Janeiro")</f>
        <v>Rio de Janeiro</v>
      </c>
      <c r="D561" s="24" t="str">
        <f>IFERROR(__xludf.DUMMYFUNCTION("""COMPUTED_VALUE"""),"Fundação Casa de Rui Barbosa")</f>
        <v>Fundação Casa de Rui Barbosa</v>
      </c>
      <c r="E561" s="25">
        <f>IFERROR(__xludf.DUMMYFUNCTION("""COMPUTED_VALUE"""),2018.0)</f>
        <v>2018</v>
      </c>
      <c r="F561" s="24" t="str">
        <f>IFERROR(__xludf.DUMMYFUNCTION("""COMPUTED_VALUE"""),"Escravidão – Brasil – Estados Unidos. Servidão – Rússia")</f>
        <v>Escravidão – Brasil – Estados Unidos. Servidão – Rússia</v>
      </c>
      <c r="G561" s="28" t="str">
        <f>IFERROR(__xludf.DUMMYFUNCTION("""COMPUTED_VALUE"""),"9788570043771")</f>
        <v>9788570043771</v>
      </c>
      <c r="H561" s="29" t="str">
        <f>IFERROR(__xludf.DUMMYFUNCTION("""COMPUTED_VALUE"""),"http://www.casaruibarbosa.gov.br/arquivos/file/eBooks/instituicoes_Nefandas.pdf")</f>
        <v>http://www.casaruibarbosa.gov.br/arquivos/file/eBooks/instituicoes_Nefandas.pdf</v>
      </c>
      <c r="I561" s="24" t="str">
        <f>IFERROR(__xludf.DUMMYFUNCTION("""COMPUTED_VALUE"""),"Ciências Humanas")</f>
        <v>Ciências Humanas</v>
      </c>
    </row>
    <row r="562">
      <c r="A562" s="24" t="str">
        <f>IFERROR(__xludf.DUMMYFUNCTION("""COMPUTED_VALUE"""),"Instrumentalização para o ensino a distância")</f>
        <v>Instrumentalização para o ensino a distância</v>
      </c>
      <c r="B562" s="24" t="str">
        <f>IFERROR(__xludf.DUMMYFUNCTION("""COMPUTED_VALUE"""),"Carneiro, Mára Lúcia Fernandes ")</f>
        <v>Carneiro, Mára Lúcia Fernandes </v>
      </c>
      <c r="C562" s="24" t="str">
        <f>IFERROR(__xludf.DUMMYFUNCTION("""COMPUTED_VALUE"""),"Porto Alegre")</f>
        <v>Porto Alegre</v>
      </c>
      <c r="D562" s="24" t="str">
        <f>IFERROR(__xludf.DUMMYFUNCTION("""COMPUTED_VALUE"""),"UFRGS")</f>
        <v>UFRGS</v>
      </c>
      <c r="E562" s="25">
        <f>IFERROR(__xludf.DUMMYFUNCTION("""COMPUTED_VALUE"""),2009.0)</f>
        <v>2009</v>
      </c>
      <c r="F562" s="24" t="str">
        <f>IFERROR(__xludf.DUMMYFUNCTION("""COMPUTED_VALUE"""),"Ensino a distância; Informática : Educação; Tecnologia da informação")</f>
        <v>Ensino a distância; Informática : Educação; Tecnologia da informação</v>
      </c>
      <c r="G562" s="28" t="str">
        <f>IFERROR(__xludf.DUMMYFUNCTION("""COMPUTED_VALUE"""),"9788538600602")</f>
        <v>9788538600602</v>
      </c>
      <c r="H562" s="29" t="str">
        <f>IFERROR(__xludf.DUMMYFUNCTION("""COMPUTED_VALUE"""),"http://hdl.handle.net/10183/52801")</f>
        <v>http://hdl.handle.net/10183/52801</v>
      </c>
      <c r="I562" s="24" t="str">
        <f>IFERROR(__xludf.DUMMYFUNCTION("""COMPUTED_VALUE"""),"Ciências Humanas")</f>
        <v>Ciências Humanas</v>
      </c>
    </row>
    <row r="563">
      <c r="A563" s="24" t="str">
        <f>IFERROR(__xludf.DUMMYFUNCTION("""COMPUTED_VALUE"""),"Intelectuais e guerreiros")</f>
        <v>Intelectuais e guerreiros</v>
      </c>
      <c r="B563" s="24" t="str">
        <f>IFERROR(__xludf.DUMMYFUNCTION("""COMPUTED_VALUE"""),"Alzira Alves de Abreu ")</f>
        <v>Alzira Alves de Abreu </v>
      </c>
      <c r="C563" s="24" t="str">
        <f>IFERROR(__xludf.DUMMYFUNCTION("""COMPUTED_VALUE"""),"Rio de Janeiro")</f>
        <v>Rio de Janeiro</v>
      </c>
      <c r="D563" s="24" t="str">
        <f>IFERROR(__xludf.DUMMYFUNCTION("""COMPUTED_VALUE"""),"Editora UFRJ")</f>
        <v>Editora UFRJ</v>
      </c>
      <c r="E563" s="25">
        <f>IFERROR(__xludf.DUMMYFUNCTION("""COMPUTED_VALUE"""),1992.0)</f>
        <v>1992</v>
      </c>
      <c r="F563" s="24" t="str">
        <f>IFERROR(__xludf.DUMMYFUNCTION("""COMPUTED_VALUE"""),"Escolas públicas; Aspectos sociais; Colégio de Aplicação da UFRJ; História")</f>
        <v>Escolas públicas; Aspectos sociais; Colégio de Aplicação da UFRJ; História</v>
      </c>
      <c r="G563" s="28" t="str">
        <f>IFERROR(__xludf.DUMMYFUNCTION("""COMPUTED_VALUE"""),"8571080755")</f>
        <v>8571080755</v>
      </c>
      <c r="H563" s="29" t="str">
        <f>IFERROR(__xludf.DUMMYFUNCTION("""COMPUTED_VALUE"""),"http://www.editora.ufrj.br/DynamicItems/livrosabertos-1/IntelectuaisEGuerreiros_compressed.pdf")</f>
        <v>http://www.editora.ufrj.br/DynamicItems/livrosabertos-1/IntelectuaisEGuerreiros_compressed.pdf</v>
      </c>
      <c r="I563" s="24" t="str">
        <f>IFERROR(__xludf.DUMMYFUNCTION("""COMPUTED_VALUE"""),"Ciências Humanas")</f>
        <v>Ciências Humanas</v>
      </c>
    </row>
    <row r="564">
      <c r="A564" s="24" t="str">
        <f>IFERROR(__xludf.DUMMYFUNCTION("""COMPUTED_VALUE"""),"Interculturalidade : Linguagens E Formação De Professores")</f>
        <v>Interculturalidade : Linguagens E Formação De Professores</v>
      </c>
      <c r="B564" s="24" t="str">
        <f>IFERROR(__xludf.DUMMYFUNCTION("""COMPUTED_VALUE"""),"Fábio Marques de souza; Simone Dália de Gusmão Aranha (org.)")</f>
        <v>Fábio Marques de souza; Simone Dália de Gusmão Aranha (org.)</v>
      </c>
      <c r="C564" s="24" t="str">
        <f>IFERROR(__xludf.DUMMYFUNCTION("""COMPUTED_VALUE"""),"Campina Grande")</f>
        <v>Campina Grande</v>
      </c>
      <c r="D564" s="24" t="str">
        <f>IFERROR(__xludf.DUMMYFUNCTION("""COMPUTED_VALUE"""),"EDUEPB")</f>
        <v>EDUEPB</v>
      </c>
      <c r="E564" s="25">
        <f>IFERROR(__xludf.DUMMYFUNCTION("""COMPUTED_VALUE"""),2016.0)</f>
        <v>2016</v>
      </c>
      <c r="F564" s="24" t="str">
        <f>IFERROR(__xludf.DUMMYFUNCTION("""COMPUTED_VALUE"""),"Ensino aprendizagem. Ensino de literatura. Linguagens. Formação de professores. Exclusão social. Livros didáticos")</f>
        <v>Ensino aprendizagem. Ensino de literatura. Linguagens. Formação de professores. Exclusão social. Livros didáticos</v>
      </c>
      <c r="G564" s="28" t="str">
        <f>IFERROR(__xludf.DUMMYFUNCTION("""COMPUTED_VALUE"""),"9788578793470")</f>
        <v>9788578793470</v>
      </c>
      <c r="H564" s="29" t="str">
        <f>IFERROR(__xludf.DUMMYFUNCTION("""COMPUTED_VALUE"""),"http://eduepb.uepb.edu.br/download/interculturalidade-linguagens-e-formacao-de-professores/?wpdmdl=192&amp;amp;masterkey=5af99b8652812")</f>
        <v>http://eduepb.uepb.edu.br/download/interculturalidade-linguagens-e-formacao-de-professores/?wpdmdl=192&amp;amp;masterkey=5af99b8652812</v>
      </c>
      <c r="I564" s="24" t="str">
        <f>IFERROR(__xludf.DUMMYFUNCTION("""COMPUTED_VALUE"""),"Ciências Humanas")</f>
        <v>Ciências Humanas</v>
      </c>
    </row>
    <row r="565">
      <c r="A565" s="24" t="str">
        <f>IFERROR(__xludf.DUMMYFUNCTION("""COMPUTED_VALUE"""),"Interface: psicologia do desenvolvimento e questões educacionais contemporâneas")</f>
        <v>Interface: psicologia do desenvolvimento e questões educacionais contemporâneas</v>
      </c>
      <c r="B565" s="24" t="str">
        <f>IFERROR(__xludf.DUMMYFUNCTION("""COMPUTED_VALUE"""),"Nádia M. Ribeiro Salomão, Fabíola de S. Braz Aquino, Mônica F. B. Correia (Orgs.).")</f>
        <v>Nádia M. Ribeiro Salomão, Fabíola de S. Braz Aquino, Mônica F. B. Correia (Orgs.).</v>
      </c>
      <c r="C565" s="24" t="str">
        <f>IFERROR(__xludf.DUMMYFUNCTION("""COMPUTED_VALUE"""),"João Pessoa")</f>
        <v>João Pessoa</v>
      </c>
      <c r="D565" s="24" t="str">
        <f>IFERROR(__xludf.DUMMYFUNCTION("""COMPUTED_VALUE"""),"Editora da UFPB")</f>
        <v>Editora da UFPB</v>
      </c>
      <c r="E565" s="25">
        <f>IFERROR(__xludf.DUMMYFUNCTION("""COMPUTED_VALUE"""),2015.0)</f>
        <v>2015</v>
      </c>
      <c r="F565" s="24" t="str">
        <f>IFERROR(__xludf.DUMMYFUNCTION("""COMPUTED_VALUE"""),"Psicologia infantil; Psicologia do desenvolvimento; Educação infantil; Interações")</f>
        <v>Psicologia infantil; Psicologia do desenvolvimento; Educação infantil; Interações</v>
      </c>
      <c r="G565" s="28" t="str">
        <f>IFERROR(__xludf.DUMMYFUNCTION("""COMPUTED_VALUE"""),"9788523711856")</f>
        <v>9788523711856</v>
      </c>
      <c r="H565" s="29" t="str">
        <f>IFERROR(__xludf.DUMMYFUNCTION("""COMPUTED_VALUE"""),"http://www.editora.ufpb.br/sistema/press5/index.php/UFPB/catalog/book/551")</f>
        <v>http://www.editora.ufpb.br/sistema/press5/index.php/UFPB/catalog/book/551</v>
      </c>
      <c r="I565" s="24" t="str">
        <f>IFERROR(__xludf.DUMMYFUNCTION("""COMPUTED_VALUE"""),"Ciências Humanas")</f>
        <v>Ciências Humanas</v>
      </c>
    </row>
    <row r="566">
      <c r="A566" s="24" t="str">
        <f>IFERROR(__xludf.DUMMYFUNCTION("""COMPUTED_VALUE"""),"Interfaces da mobilidade humana na fronteira amazônica")</f>
        <v>Interfaces da mobilidade humana na fronteira amazônica</v>
      </c>
      <c r="B566" s="24" t="str">
        <f>IFERROR(__xludf.DUMMYFUNCTION("""COMPUTED_VALUE"""),"Márcia Maria de Oliveira; Maria das Graças Santos Dias (org.)")</f>
        <v>Márcia Maria de Oliveira; Maria das Graças Santos Dias (org.)</v>
      </c>
      <c r="C566" s="24" t="str">
        <f>IFERROR(__xludf.DUMMYFUNCTION("""COMPUTED_VALUE"""),"Boa Vista ")</f>
        <v>Boa Vista </v>
      </c>
      <c r="D566" s="24" t="str">
        <f>IFERROR(__xludf.DUMMYFUNCTION("""COMPUTED_VALUE"""),"UFRR")</f>
        <v>UFRR</v>
      </c>
      <c r="E566" s="25">
        <f>IFERROR(__xludf.DUMMYFUNCTION("""COMPUTED_VALUE"""),2020.0)</f>
        <v>2020</v>
      </c>
      <c r="F566" s="24" t="str">
        <f>IFERROR(__xludf.DUMMYFUNCTION("""COMPUTED_VALUE"""),"Fronteira Amazônica; Fronteiras Pan-Amazônicas; Mobilidade transfronteiriça;Mobilidade humana")</f>
        <v>Fronteira Amazônica; Fronteiras Pan-Amazônicas; Mobilidade transfronteiriça;Mobilidade humana</v>
      </c>
      <c r="G566" s="28" t="str">
        <f>IFERROR(__xludf.DUMMYFUNCTION("""COMPUTED_VALUE"""),"9786586062113")</f>
        <v>9786586062113</v>
      </c>
      <c r="H566" s="29" t="str">
        <f>IFERROR(__xludf.DUMMYFUNCTION("""COMPUTED_VALUE"""),"http://ufrr.br/editora/index.php/editais?download=446")</f>
        <v>http://ufrr.br/editora/index.php/editais?download=446</v>
      </c>
      <c r="I566" s="24" t="str">
        <f>IFERROR(__xludf.DUMMYFUNCTION("""COMPUTED_VALUE"""),"Ciências Humanas")</f>
        <v>Ciências Humanas</v>
      </c>
    </row>
    <row r="567">
      <c r="A567" s="24" t="str">
        <f>IFERROR(__xludf.DUMMYFUNCTION("""COMPUTED_VALUE"""),"Internationalization and Academic Quality Enhancement: 20th Anniversary of PUC-Rio's International Office")</f>
        <v>Internationalization and Academic Quality Enhancement: 20th Anniversary of PUC-Rio's International Office</v>
      </c>
      <c r="B567" s="24" t="str">
        <f>IFERROR(__xludf.DUMMYFUNCTION("""COMPUTED_VALUE"""),"Rosa Marina Brito Meyer; (Editor)")</f>
        <v>Rosa Marina Brito Meyer; (Editor)</v>
      </c>
      <c r="C567" s="24" t="str">
        <f>IFERROR(__xludf.DUMMYFUNCTION("""COMPUTED_VALUE"""),"Rio de Janeiro")</f>
        <v>Rio de Janeiro</v>
      </c>
      <c r="D567" s="24" t="str">
        <f>IFERROR(__xludf.DUMMYFUNCTION("""COMPUTED_VALUE"""),"Editora PUC Rio")</f>
        <v>Editora PUC Rio</v>
      </c>
      <c r="E567" s="25">
        <f>IFERROR(__xludf.DUMMYFUNCTION("""COMPUTED_VALUE"""),2012.0)</f>
        <v>2012</v>
      </c>
      <c r="F567" s="24" t="str">
        <f>IFERROR(__xludf.DUMMYFUNCTION("""COMPUTED_VALUE"""),"Programas de intercâmbio de estudantes – Brasil. Relações culturais. Coordenação Central de Cooperação Internacional")</f>
        <v>Programas de intercâmbio de estudantes – Brasil. Relações culturais. Coordenação Central de Cooperação Internacional</v>
      </c>
      <c r="G567" s="26"/>
      <c r="H567" s="29" t="str">
        <f>IFERROR(__xludf.DUMMYFUNCTION("""COMPUTED_VALUE"""),"http://www.editora.puc-rio.br/media/ebook_internationalization.pdf")</f>
        <v>http://www.editora.puc-rio.br/media/ebook_internationalization.pdf</v>
      </c>
      <c r="I567" s="24" t="str">
        <f>IFERROR(__xludf.DUMMYFUNCTION("""COMPUTED_VALUE"""),"Ciências Humanas")</f>
        <v>Ciências Humanas</v>
      </c>
    </row>
    <row r="568">
      <c r="A568" s="24" t="str">
        <f>IFERROR(__xludf.DUMMYFUNCTION("""COMPUTED_VALUE"""),"Introdução aos Estudos sobre Surdez e Libras")</f>
        <v>Introdução aos Estudos sobre Surdez e Libras</v>
      </c>
      <c r="B568" s="24" t="str">
        <f>IFERROR(__xludf.DUMMYFUNCTION("""COMPUTED_VALUE"""),"Adriane Melo de Castro Menezes; Rodrigo Mesquita (org.)")</f>
        <v>Adriane Melo de Castro Menezes; Rodrigo Mesquita (org.)</v>
      </c>
      <c r="C568" s="24" t="str">
        <f>IFERROR(__xludf.DUMMYFUNCTION("""COMPUTED_VALUE"""),"Boa Vista ")</f>
        <v>Boa Vista </v>
      </c>
      <c r="D568" s="24" t="str">
        <f>IFERROR(__xludf.DUMMYFUNCTION("""COMPUTED_VALUE"""),"UFRR")</f>
        <v>UFRR</v>
      </c>
      <c r="E568" s="25">
        <f>IFERROR(__xludf.DUMMYFUNCTION("""COMPUTED_VALUE"""),2018.0)</f>
        <v>2018</v>
      </c>
      <c r="F568" s="24" t="str">
        <f>IFERROR(__xludf.DUMMYFUNCTION("""COMPUTED_VALUE"""),"Educação especial; Deficientes auditivos; Linguagem por sinais")</f>
        <v>Educação especial; Deficientes auditivos; Linguagem por sinais</v>
      </c>
      <c r="G568" s="28" t="str">
        <f>IFERROR(__xludf.DUMMYFUNCTION("""COMPUTED_VALUE"""),"9788582881644")</f>
        <v>9788582881644</v>
      </c>
      <c r="H568" s="29" t="str">
        <f>IFERROR(__xludf.DUMMYFUNCTION("""COMPUTED_VALUE"""),"http://ufrr.br/editora/index.php/editais?download=407")</f>
        <v>http://ufrr.br/editora/index.php/editais?download=407</v>
      </c>
      <c r="I568" s="24" t="str">
        <f>IFERROR(__xludf.DUMMYFUNCTION("""COMPUTED_VALUE"""),"Ciências Humanas")</f>
        <v>Ciências Humanas</v>
      </c>
    </row>
    <row r="569">
      <c r="A569" s="24" t="str">
        <f>IFERROR(__xludf.DUMMYFUNCTION("""COMPUTED_VALUE"""),"Jair Dessaune: um exemplo")</f>
        <v>Jair Dessaune: um exemplo</v>
      </c>
      <c r="B569" s="24" t="str">
        <f>IFERROR(__xludf.DUMMYFUNCTION("""COMPUTED_VALUE"""),"organização Laurita Dessaune, Marcos Dessaune")</f>
        <v>organização Laurita Dessaune, Marcos Dessaune</v>
      </c>
      <c r="C569" s="24" t="str">
        <f>IFERROR(__xludf.DUMMYFUNCTION("""COMPUTED_VALUE"""),"Vitória")</f>
        <v>Vitória</v>
      </c>
      <c r="D569" s="24" t="str">
        <f>IFERROR(__xludf.DUMMYFUNCTION("""COMPUTED_VALUE"""),"EDUFES")</f>
        <v>EDUFES</v>
      </c>
      <c r="E569" s="25">
        <f>IFERROR(__xludf.DUMMYFUNCTION("""COMPUTED_VALUE"""),2014.0)</f>
        <v>2014</v>
      </c>
      <c r="F569" s="24" t="str">
        <f>IFERROR(__xludf.DUMMYFUNCTION("""COMPUTED_VALUE"""),"Jair Etienne Dessaune; Biografia; Universidade Federal do Espírito Santo; Reitores")</f>
        <v>Jair Etienne Dessaune; Biografia; Universidade Federal do Espírito Santo; Reitores</v>
      </c>
      <c r="G569" s="28" t="str">
        <f>IFERROR(__xludf.DUMMYFUNCTION("""COMPUTED_VALUE"""),"9788577722679")</f>
        <v>9788577722679</v>
      </c>
      <c r="H569" s="29" t="str">
        <f>IFERROR(__xludf.DUMMYFUNCTION("""COMPUTED_VALUE"""),"http://repositorio.ufes.br/handle/10/1903")</f>
        <v>http://repositorio.ufes.br/handle/10/1903</v>
      </c>
      <c r="I569" s="24" t="str">
        <f>IFERROR(__xludf.DUMMYFUNCTION("""COMPUTED_VALUE"""),"Ciências Humanas")</f>
        <v>Ciências Humanas</v>
      </c>
    </row>
    <row r="570">
      <c r="A570" s="24" t="str">
        <f>IFERROR(__xludf.DUMMYFUNCTION("""COMPUTED_VALUE"""),"João da Silva Feijó: um homem de ciência no antigo Regime Português")</f>
        <v>João da Silva Feijó: um homem de ciência no antigo Regime Português</v>
      </c>
      <c r="B570" s="24" t="str">
        <f>IFERROR(__xludf.DUMMYFUNCTION("""COMPUTED_VALUE"""),"Pereira, Magnus R. Mello ; Santos, Rosângela Maria Ferreira dos")</f>
        <v>Pereira, Magnus R. Mello ; Santos, Rosângela Maria Ferreira dos</v>
      </c>
      <c r="C570" s="24" t="str">
        <f>IFERROR(__xludf.DUMMYFUNCTION("""COMPUTED_VALUE"""),"Curitiba")</f>
        <v>Curitiba</v>
      </c>
      <c r="D570" s="24" t="str">
        <f>IFERROR(__xludf.DUMMYFUNCTION("""COMPUTED_VALUE"""),"UFPR")</f>
        <v>UFPR</v>
      </c>
      <c r="E570" s="25">
        <f>IFERROR(__xludf.DUMMYFUNCTION("""COMPUTED_VALUE"""),2019.0)</f>
        <v>2019</v>
      </c>
      <c r="F570" s="24" t="str">
        <f>IFERROR(__xludf.DUMMYFUNCTION("""COMPUTED_VALUE"""),"Cientistas - Biografia; História")</f>
        <v>Cientistas - Biografia; História</v>
      </c>
      <c r="G570" s="26"/>
      <c r="H570" s="29" t="str">
        <f>IFERROR(__xludf.DUMMYFUNCTION("""COMPUTED_VALUE"""),"https://hdl.handle.net/1884/63941")</f>
        <v>https://hdl.handle.net/1884/63941</v>
      </c>
      <c r="I570" s="24" t="str">
        <f>IFERROR(__xludf.DUMMYFUNCTION("""COMPUTED_VALUE"""),"Ciências Humanas")</f>
        <v>Ciências Humanas</v>
      </c>
    </row>
    <row r="571">
      <c r="A571" s="24" t="str">
        <f>IFERROR(__xludf.DUMMYFUNCTION("""COMPUTED_VALUE"""),"Jogo, teatro e educação infantil: oficinas de jogos teatrais para a formação continuada dos professores de arte (disponível temporariamente)")</f>
        <v>Jogo, teatro e educação infantil: oficinas de jogos teatrais para a formação continuada dos professores de arte (disponível temporariamente)</v>
      </c>
      <c r="B571" s="24" t="str">
        <f>IFERROR(__xludf.DUMMYFUNCTION("""COMPUTED_VALUE"""),"Eliete Fernandes Matias, Paula Alves Barbosa Coelho.")</f>
        <v>Eliete Fernandes Matias, Paula Alves Barbosa Coelho.</v>
      </c>
      <c r="C571" s="24" t="str">
        <f>IFERROR(__xludf.DUMMYFUNCTION("""COMPUTED_VALUE"""),"João Pessoa")</f>
        <v>João Pessoa</v>
      </c>
      <c r="D571" s="24" t="str">
        <f>IFERROR(__xludf.DUMMYFUNCTION("""COMPUTED_VALUE"""),"Editora da UFPB")</f>
        <v>Editora da UFPB</v>
      </c>
      <c r="E571" s="25">
        <f>IFERROR(__xludf.DUMMYFUNCTION("""COMPUTED_VALUE"""),2017.0)</f>
        <v>2017</v>
      </c>
      <c r="F571" s="24" t="str">
        <f>IFERROR(__xludf.DUMMYFUNCTION("""COMPUTED_VALUE"""),"Artes; Educação Infantil; Formação continuada; Jogos dramáticos e teatrais")</f>
        <v>Artes; Educação Infantil; Formação continuada; Jogos dramáticos e teatrais</v>
      </c>
      <c r="G571" s="28" t="str">
        <f>IFERROR(__xludf.DUMMYFUNCTION("""COMPUTED_VALUE"""),"9788523712938")</f>
        <v>9788523712938</v>
      </c>
      <c r="H571" s="29" t="str">
        <f>IFERROR(__xludf.DUMMYFUNCTION("""COMPUTED_VALUE"""),"http://www.editora.ufpb.br/sistema/press5/index.php/UFPB/catalog/book/488")</f>
        <v>http://www.editora.ufpb.br/sistema/press5/index.php/UFPB/catalog/book/488</v>
      </c>
      <c r="I571" s="24" t="str">
        <f>IFERROR(__xludf.DUMMYFUNCTION("""COMPUTED_VALUE"""),"Ciências Humanas")</f>
        <v>Ciências Humanas</v>
      </c>
    </row>
    <row r="572">
      <c r="A572" s="24" t="str">
        <f>IFERROR(__xludf.DUMMYFUNCTION("""COMPUTED_VALUE"""),"Jogos e ensino de história")</f>
        <v>Jogos e ensino de história</v>
      </c>
      <c r="B572" s="24" t="str">
        <f>IFERROR(__xludf.DUMMYFUNCTION("""COMPUTED_VALUE"""),"Giacomoni, Marcello Paniz; Pereira, Nilton Mullet ")</f>
        <v>Giacomoni, Marcello Paniz; Pereira, Nilton Mullet </v>
      </c>
      <c r="C572" s="24" t="str">
        <f>IFERROR(__xludf.DUMMYFUNCTION("""COMPUTED_VALUE"""),"Porto Alegre")</f>
        <v>Porto Alegre</v>
      </c>
      <c r="D572" s="24" t="str">
        <f>IFERROR(__xludf.DUMMYFUNCTION("""COMPUTED_VALUE"""),"UFRGS")</f>
        <v>UFRGS</v>
      </c>
      <c r="E572" s="25">
        <f>IFERROR(__xludf.DUMMYFUNCTION("""COMPUTED_VALUE"""),2018.0)</f>
        <v>2018</v>
      </c>
      <c r="F572" s="24" t="str">
        <f>IFERROR(__xludf.DUMMYFUNCTION("""COMPUTED_VALUE"""),"Ensino e aprendizagem; História : Ensino; Jogos educativos")</f>
        <v>Ensino e aprendizagem; História : Ensino; Jogos educativos</v>
      </c>
      <c r="G572" s="28" t="str">
        <f>IFERROR(__xludf.DUMMYFUNCTION("""COMPUTED_VALUE"""),"9788538604068")</f>
        <v>9788538604068</v>
      </c>
      <c r="H572" s="29" t="str">
        <f>IFERROR(__xludf.DUMMYFUNCTION("""COMPUTED_VALUE"""),"http://hdl.handle.net/10183/174705")</f>
        <v>http://hdl.handle.net/10183/174705</v>
      </c>
      <c r="I572" s="24" t="str">
        <f>IFERROR(__xludf.DUMMYFUNCTION("""COMPUTED_VALUE"""),"Ciências Humanas")</f>
        <v>Ciências Humanas</v>
      </c>
    </row>
    <row r="573">
      <c r="A573" s="24" t="str">
        <f>IFERROR(__xludf.DUMMYFUNCTION("""COMPUTED_VALUE"""),"Jorge Amado e os coronéis do cacau")</f>
        <v>Jorge Amado e os coronéis do cacau</v>
      </c>
      <c r="B573" s="24" t="str">
        <f>IFERROR(__xludf.DUMMYFUNCTION("""COMPUTED_VALUE"""),"Maria Luiza Heine")</f>
        <v>Maria Luiza Heine</v>
      </c>
      <c r="C573" s="24" t="str">
        <f>IFERROR(__xludf.DUMMYFUNCTION("""COMPUTED_VALUE"""),"Ilhéus, BA")</f>
        <v>Ilhéus, BA</v>
      </c>
      <c r="D573" s="24" t="str">
        <f>IFERROR(__xludf.DUMMYFUNCTION("""COMPUTED_VALUE"""),"Editus")</f>
        <v>Editus</v>
      </c>
      <c r="E573" s="25">
        <f>IFERROR(__xludf.DUMMYFUNCTION("""COMPUTED_VALUE"""),2004.0)</f>
        <v>2004</v>
      </c>
      <c r="F573" s="24" t="str">
        <f>IFERROR(__xludf.DUMMYFUNCTION("""COMPUTED_VALUE"""),"Ilhéus (BA) - História; Ilhéus (BA) - História - Crítica e interpretação; Amado, Jorge, 1912-2001 - Personagens; Coronelismo; Cacau na literatura")</f>
        <v>Ilhéus (BA) - História; Ilhéus (BA) - História - Crítica e interpretação; Amado, Jorge, 1912-2001 - Personagens; Coronelismo; Cacau na literatura</v>
      </c>
      <c r="G573" s="28" t="str">
        <f>IFERROR(__xludf.DUMMYFUNCTION("""COMPUTED_VALUE"""),"8574550817")</f>
        <v>8574550817</v>
      </c>
      <c r="H573" s="29" t="str">
        <f>IFERROR(__xludf.DUMMYFUNCTION("""COMPUTED_VALUE"""),"http://www.uesc.br/editora/livrosdigitais_20141023/jaeoscoroneiscacau.pdf")</f>
        <v>http://www.uesc.br/editora/livrosdigitais_20141023/jaeoscoroneiscacau.pdf</v>
      </c>
      <c r="I573" s="24" t="str">
        <f>IFERROR(__xludf.DUMMYFUNCTION("""COMPUTED_VALUE"""),"Ciências Humanas")</f>
        <v>Ciências Humanas</v>
      </c>
    </row>
    <row r="574">
      <c r="A574" s="24" t="str">
        <f>IFERROR(__xludf.DUMMYFUNCTION("""COMPUTED_VALUE"""),"José, Tereza, Zélia... e seu território cigano - coleção olhares-")</f>
        <v>José, Tereza, Zélia... e seu território cigano - coleção olhares-</v>
      </c>
      <c r="B574" s="24" t="str">
        <f>IFERROR(__xludf.DUMMYFUNCTION("""COMPUTED_VALUE"""),"Ademir Divino Vaz")</f>
        <v>Ademir Divino Vaz</v>
      </c>
      <c r="C574" s="24" t="str">
        <f>IFERROR(__xludf.DUMMYFUNCTION("""COMPUTED_VALUE"""),"Anápolis")</f>
        <v>Anápolis</v>
      </c>
      <c r="D574" s="24" t="str">
        <f>IFERROR(__xludf.DUMMYFUNCTION("""COMPUTED_VALUE"""),"UEG")</f>
        <v>UEG</v>
      </c>
      <c r="E574" s="25">
        <f>IFERROR(__xludf.DUMMYFUNCTION("""COMPUTED_VALUE"""),2010.0)</f>
        <v>2010</v>
      </c>
      <c r="F574" s="24" t="str">
        <f>IFERROR(__xludf.DUMMYFUNCTION("""COMPUTED_VALUE"""),"Ciganos – Assentamento urbano – Ipameri, GO; Geografia cultural – Ciganos – Ipameri, GO; Nômades – Ipameri, GO")</f>
        <v>Ciganos – Assentamento urbano – Ipameri, GO; Geografia cultural – Ciganos – Ipameri, GO; Nômades – Ipameri, GO</v>
      </c>
      <c r="G574" s="28" t="str">
        <f>IFERROR(__xludf.DUMMYFUNCTION("""COMPUTED_VALUE"""),"9788563192059")</f>
        <v>9788563192059</v>
      </c>
      <c r="H574" s="29" t="str">
        <f>IFERROR(__xludf.DUMMYFUNCTION("""COMPUTED_VALUE"""),"http://cdn.ueg.edu.br/source/editora_ueg/conteudoN/4946/pdf_colecao_olhares/livro01_ademir_divino.pdf")</f>
        <v>http://cdn.ueg.edu.br/source/editora_ueg/conteudoN/4946/pdf_colecao_olhares/livro01_ademir_divino.pdf</v>
      </c>
      <c r="I574" s="24" t="str">
        <f>IFERROR(__xludf.DUMMYFUNCTION("""COMPUTED_VALUE"""),"Ciências Humanas")</f>
        <v>Ciências Humanas</v>
      </c>
    </row>
    <row r="575">
      <c r="A575" s="24" t="str">
        <f>IFERROR(__xludf.DUMMYFUNCTION("""COMPUTED_VALUE"""),"Leitura e Escrita na América Latina: teoria e prática de letramento(s)")</f>
        <v>Leitura e Escrita na América Latina: teoria e prática de letramento(s)</v>
      </c>
      <c r="B575" s="24" t="str">
        <f>IFERROR(__xludf.DUMMYFUNCTION("""COMPUTED_VALUE"""),"(org.) Adair Vieira Gonçalves; Alexandra Santos Pinheiro; Rosa Myriam Avellaneda Leal")</f>
        <v>(org.) Adair Vieira Gonçalves; Alexandra Santos Pinheiro; Rosa Myriam Avellaneda Leal</v>
      </c>
      <c r="C575" s="24" t="str">
        <f>IFERROR(__xludf.DUMMYFUNCTION("""COMPUTED_VALUE"""),"Dourados, MS")</f>
        <v>Dourados, MS</v>
      </c>
      <c r="D575" s="24" t="str">
        <f>IFERROR(__xludf.DUMMYFUNCTION("""COMPUTED_VALUE"""),"Ed. da UFGD")</f>
        <v>Ed. da UFGD</v>
      </c>
      <c r="E575" s="25">
        <f>IFERROR(__xludf.DUMMYFUNCTION("""COMPUTED_VALUE"""),2011.0)</f>
        <v>2011</v>
      </c>
      <c r="F575" s="24" t="str">
        <f>IFERROR(__xludf.DUMMYFUNCTION("""COMPUTED_VALUE"""),"Leitura – Estudo e ensino; Escrita; Letramento; Formação de professores")</f>
        <v>Leitura – Estudo e ensino; Escrita; Letramento; Formação de professores</v>
      </c>
      <c r="G575" s="28" t="str">
        <f>IFERROR(__xludf.DUMMYFUNCTION("""COMPUTED_VALUE"""),"9788581471624")</f>
        <v>9788581471624</v>
      </c>
      <c r="H575" s="29" t="str">
        <f>IFERROR(__xludf.DUMMYFUNCTION("""COMPUTED_VALUE"""),"http://omp.ufgd.edu.br/omp/index.php/livrosabertos/catalog/view/130/213/494-1")</f>
        <v>http://omp.ufgd.edu.br/omp/index.php/livrosabertos/catalog/view/130/213/494-1</v>
      </c>
      <c r="I575" s="24" t="str">
        <f>IFERROR(__xludf.DUMMYFUNCTION("""COMPUTED_VALUE"""),"Ciências Humanas")</f>
        <v>Ciências Humanas</v>
      </c>
    </row>
    <row r="576">
      <c r="A576" s="24" t="str">
        <f>IFERROR(__xludf.DUMMYFUNCTION("""COMPUTED_VALUE"""),"Leitura, pesquisa e ensino")</f>
        <v>Leitura, pesquisa e ensino</v>
      </c>
      <c r="B576" s="24" t="str">
        <f>IFERROR(__xludf.DUMMYFUNCTION("""COMPUTED_VALUE"""),"Márcia Cabral da Silva")</f>
        <v>Márcia Cabral da Silva</v>
      </c>
      <c r="C576" s="24" t="str">
        <f>IFERROR(__xludf.DUMMYFUNCTION("""COMPUTED_VALUE"""),"Rio de Janeiro")</f>
        <v>Rio de Janeiro</v>
      </c>
      <c r="D576" s="24" t="str">
        <f>IFERROR(__xludf.DUMMYFUNCTION("""COMPUTED_VALUE"""),"EdUERJ")</f>
        <v>EdUERJ</v>
      </c>
      <c r="E576" s="25">
        <f>IFERROR(__xludf.DUMMYFUNCTION("""COMPUTED_VALUE"""),2013.0)</f>
        <v>2013</v>
      </c>
      <c r="F576" s="24" t="str">
        <f>IFERROR(__xludf.DUMMYFUNCTION("""COMPUTED_VALUE"""),"Leitura; Leitores; Reação crítica; Livros")</f>
        <v>Leitura; Leitores; Reação crítica; Livros</v>
      </c>
      <c r="G576" s="28" t="str">
        <f>IFERROR(__xludf.DUMMYFUNCTION("""COMPUTED_VALUE"""),"9788575112656")</f>
        <v>9788575112656</v>
      </c>
      <c r="H576" s="29" t="str">
        <f>IFERROR(__xludf.DUMMYFUNCTION("""COMPUTED_VALUE"""),"https://www.eduerj.com/eng/?product=leitura-pesquisa-e-ensino-ebook")</f>
        <v>https://www.eduerj.com/eng/?product=leitura-pesquisa-e-ensino-ebook</v>
      </c>
      <c r="I576" s="24" t="str">
        <f>IFERROR(__xludf.DUMMYFUNCTION("""COMPUTED_VALUE"""),"Ciências Humanas")</f>
        <v>Ciências Humanas</v>
      </c>
    </row>
    <row r="577">
      <c r="A577" s="24" t="str">
        <f>IFERROR(__xludf.DUMMYFUNCTION("""COMPUTED_VALUE"""),"Leituras de gênero e interculturalidade")</f>
        <v>Leituras de gênero e interculturalidade</v>
      </c>
      <c r="B577" s="24" t="str">
        <f>IFERROR(__xludf.DUMMYFUNCTION("""COMPUTED_VALUE"""),"Losandro Antonio Tedeschi (org.)")</f>
        <v>Losandro Antonio Tedeschi (org.)</v>
      </c>
      <c r="C577" s="24" t="str">
        <f>IFERROR(__xludf.DUMMYFUNCTION("""COMPUTED_VALUE"""),"Dourados, MS")</f>
        <v>Dourados, MS</v>
      </c>
      <c r="D577" s="24" t="str">
        <f>IFERROR(__xludf.DUMMYFUNCTION("""COMPUTED_VALUE"""),"Ed. da UFGD")</f>
        <v>Ed. da UFGD</v>
      </c>
      <c r="E577" s="25">
        <f>IFERROR(__xludf.DUMMYFUNCTION("""COMPUTED_VALUE"""),2013.0)</f>
        <v>2013</v>
      </c>
      <c r="F577" s="24" t="str">
        <f>IFERROR(__xludf.DUMMYFUNCTION("""COMPUTED_VALUE"""),"Tedeschi, Losandro Antonio; Interculturalidade; Interdisciplinaridade")</f>
        <v>Tedeschi, Losandro Antonio; Interculturalidade; Interdisciplinaridade</v>
      </c>
      <c r="G577" s="28" t="str">
        <f>IFERROR(__xludf.DUMMYFUNCTION("""COMPUTED_VALUE"""),"9788581470443")</f>
        <v>9788581470443</v>
      </c>
      <c r="H577" s="29" t="str">
        <f>IFERROR(__xludf.DUMMYFUNCTION("""COMPUTED_VALUE"""),"http://omp.ufgd.edu.br/omp/index.php/livrosabertos/catalog/view/131/212/493-1")</f>
        <v>http://omp.ufgd.edu.br/omp/index.php/livrosabertos/catalog/view/131/212/493-1</v>
      </c>
      <c r="I577" s="24" t="str">
        <f>IFERROR(__xludf.DUMMYFUNCTION("""COMPUTED_VALUE"""),"Ciências Humanas")</f>
        <v>Ciências Humanas</v>
      </c>
    </row>
    <row r="578">
      <c r="A578" s="24" t="str">
        <f>IFERROR(__xludf.DUMMYFUNCTION("""COMPUTED_VALUE"""),"Leituras sobre mulheres: o fazer e o refazer de caminhos.")</f>
        <v>Leituras sobre mulheres: o fazer e o refazer de caminhos.</v>
      </c>
      <c r="B578" s="24" t="str">
        <f>IFERROR(__xludf.DUMMYFUNCTION("""COMPUTED_VALUE"""),"Alzira Salete Menegat (org.)")</f>
        <v>Alzira Salete Menegat (org.)</v>
      </c>
      <c r="C578" s="24" t="str">
        <f>IFERROR(__xludf.DUMMYFUNCTION("""COMPUTED_VALUE"""),"Dourados, MS")</f>
        <v>Dourados, MS</v>
      </c>
      <c r="D578" s="24" t="str">
        <f>IFERROR(__xludf.DUMMYFUNCTION("""COMPUTED_VALUE"""),"Ed. da UFGD")</f>
        <v>Ed. da UFGD</v>
      </c>
      <c r="E578" s="25">
        <f>IFERROR(__xludf.DUMMYFUNCTION("""COMPUTED_VALUE"""),2016.0)</f>
        <v>2016</v>
      </c>
      <c r="F578" s="24" t="str">
        <f>IFERROR(__xludf.DUMMYFUNCTION("""COMPUTED_VALUE"""),"Mulheres; Dilemas sociais; Resistências")</f>
        <v>Mulheres; Dilemas sociais; Resistências</v>
      </c>
      <c r="G578" s="28" t="str">
        <f>IFERROR(__xludf.DUMMYFUNCTION("""COMPUTED_VALUE"""),"9788581471303")</f>
        <v>9788581471303</v>
      </c>
      <c r="H578" s="29" t="str">
        <f>IFERROR(__xludf.DUMMYFUNCTION("""COMPUTED_VALUE"""),"http://omp.ufgd.edu.br/omp/index.php/livrosabertos/catalog/view/132/211/492-1")</f>
        <v>http://omp.ufgd.edu.br/omp/index.php/livrosabertos/catalog/view/132/211/492-1</v>
      </c>
      <c r="I578" s="24" t="str">
        <f>IFERROR(__xludf.DUMMYFUNCTION("""COMPUTED_VALUE"""),"Ciências Humanas")</f>
        <v>Ciências Humanas</v>
      </c>
    </row>
    <row r="579">
      <c r="A579" s="24" t="str">
        <f>IFERROR(__xludf.DUMMYFUNCTION("""COMPUTED_VALUE"""),"LIBRAS e o processo de formação continuada de professores: discussões teóricas e metodológicas")</f>
        <v>LIBRAS e o processo de formação continuada de professores: discussões teóricas e metodológicas</v>
      </c>
      <c r="B579" s="24" t="str">
        <f>IFERROR(__xludf.DUMMYFUNCTION("""COMPUTED_VALUE"""),"Eliamar Godoi, Márcia Dias Lima, Roberval Montes da Silva, organizadores")</f>
        <v>Eliamar Godoi, Márcia Dias Lima, Roberval Montes da Silva, organizadores</v>
      </c>
      <c r="C579" s="24" t="str">
        <f>IFERROR(__xludf.DUMMYFUNCTION("""COMPUTED_VALUE"""),"Uberlândia")</f>
        <v>Uberlândia</v>
      </c>
      <c r="D579" s="24" t="str">
        <f>IFERROR(__xludf.DUMMYFUNCTION("""COMPUTED_VALUE"""),"EDUFU")</f>
        <v>EDUFU</v>
      </c>
      <c r="E579" s="25">
        <f>IFERROR(__xludf.DUMMYFUNCTION("""COMPUTED_VALUE"""),2016.0)</f>
        <v>2016</v>
      </c>
      <c r="F579" s="24" t="str">
        <f>IFERROR(__xludf.DUMMYFUNCTION("""COMPUTED_VALUE"""),"Língua brasileira de sinais; Língua brasileira de sinais - Formação de professores; Educação inclusiva; Surdos - Educação. I. Godoi, Eliamar, 1968-. II. Lima, Márcia Dias. III. Silva, Roberval Montes da. V. Universidade Federal de Uberlândia. VI. Título")</f>
        <v>Língua brasileira de sinais; Língua brasileira de sinais - Formação de professores; Educação inclusiva; Surdos - Educação. I. Godoi, Eliamar, 1968-. II. Lima, Márcia Dias. III. Silva, Roberval Montes da. V. Universidade Federal de Uberlândia. VI. Título</v>
      </c>
      <c r="G579" s="28" t="str">
        <f>IFERROR(__xludf.DUMMYFUNCTION("""COMPUTED_VALUE"""),"9788570784438")</f>
        <v>9788570784438</v>
      </c>
      <c r="H579" s="29" t="str">
        <f>IFERROR(__xludf.DUMMYFUNCTION("""COMPUTED_VALUE"""),"http://www.edufu.ufu.br/sites/edufu.ufu.br/files/e-book_lingua_brasileira_de_sinais_v7_2016_0.pdf")</f>
        <v>http://www.edufu.ufu.br/sites/edufu.ufu.br/files/e-book_lingua_brasileira_de_sinais_v7_2016_0.pdf</v>
      </c>
      <c r="I579" s="24" t="str">
        <f>IFERROR(__xludf.DUMMYFUNCTION("""COMPUTED_VALUE"""),"Ciências Humanas")</f>
        <v>Ciências Humanas</v>
      </c>
    </row>
    <row r="580">
      <c r="A580" s="24" t="str">
        <f>IFERROR(__xludf.DUMMYFUNCTION("""COMPUTED_VALUE"""),"Licenciatura em história do IFG: dez anos de desafios na formação do professor pesquisador ")</f>
        <v>Licenciatura em história do IFG: dez anos de desafios na formação do professor pesquisador </v>
      </c>
      <c r="B580" s="24" t="str">
        <f>IFERROR(__xludf.DUMMYFUNCTION("""COMPUTED_VALUE"""),"Flávia Pereira Machado; Maria Abadia Cardoso; Rafael Borges (org.) ")</f>
        <v>Flávia Pereira Machado; Maria Abadia Cardoso; Rafael Borges (org.) </v>
      </c>
      <c r="C580" s="24" t="str">
        <f>IFERROR(__xludf.DUMMYFUNCTION("""COMPUTED_VALUE"""),"Goiânia, GO")</f>
        <v>Goiânia, GO</v>
      </c>
      <c r="D580" s="24" t="str">
        <f>IFERROR(__xludf.DUMMYFUNCTION("""COMPUTED_VALUE"""),"Editora IFG")</f>
        <v>Editora IFG</v>
      </c>
      <c r="E580" s="25">
        <f>IFERROR(__xludf.DUMMYFUNCTION("""COMPUTED_VALUE"""),2019.0)</f>
        <v>2019</v>
      </c>
      <c r="F580" s="24" t="str">
        <f>IFERROR(__xludf.DUMMYFUNCTION("""COMPUTED_VALUE"""),"Docência; Ensino de História; Licenciatura")</f>
        <v>Docência; Ensino de História; Licenciatura</v>
      </c>
      <c r="G580" s="28" t="str">
        <f>IFERROR(__xludf.DUMMYFUNCTION("""COMPUTED_VALUE"""),"9788567022352")</f>
        <v>9788567022352</v>
      </c>
      <c r="H580" s="29" t="str">
        <f>IFERROR(__xludf.DUMMYFUNCTION("""COMPUTED_VALUE"""),"https://editora.ifg.edu.br/editoraifg/catalog/view/37/21/107-2")</f>
        <v>https://editora.ifg.edu.br/editoraifg/catalog/view/37/21/107-2</v>
      </c>
      <c r="I580" s="24" t="str">
        <f>IFERROR(__xludf.DUMMYFUNCTION("""COMPUTED_VALUE"""),"Ciências Humanas")</f>
        <v>Ciências Humanas</v>
      </c>
    </row>
    <row r="581">
      <c r="A581" s="24" t="str">
        <f>IFERROR(__xludf.DUMMYFUNCTION("""COMPUTED_VALUE"""),"Lideranças quilombolas na Paraíba: lutamos mas queremos vencer! (disponível temporariamente)")</f>
        <v>Lideranças quilombolas na Paraíba: lutamos mas queremos vencer! (disponível temporariamente)</v>
      </c>
      <c r="B581" s="24" t="str">
        <f>IFERROR(__xludf.DUMMYFUNCTION("""COMPUTED_VALUE"""),"Eulália Bezerra Araújo, Teresa Cristina Furtado Matos")</f>
        <v>Eulália Bezerra Araújo, Teresa Cristina Furtado Matos</v>
      </c>
      <c r="C581" s="24" t="str">
        <f>IFERROR(__xludf.DUMMYFUNCTION("""COMPUTED_VALUE"""),"João Pessoa")</f>
        <v>João Pessoa</v>
      </c>
      <c r="D581" s="24" t="str">
        <f>IFERROR(__xludf.DUMMYFUNCTION("""COMPUTED_VALUE"""),"Editora da UFPB")</f>
        <v>Editora da UFPB</v>
      </c>
      <c r="E581" s="25">
        <f>IFERROR(__xludf.DUMMYFUNCTION("""COMPUTED_VALUE"""),2017.0)</f>
        <v>2017</v>
      </c>
      <c r="F581" s="24" t="str">
        <f>IFERROR(__xludf.DUMMYFUNCTION("""COMPUTED_VALUE"""),"Quilombo;Lideranças quilombolas; Políticas Públicas")</f>
        <v>Quilombo;Lideranças quilombolas; Políticas Públicas</v>
      </c>
      <c r="G581" s="28" t="str">
        <f>IFERROR(__xludf.DUMMYFUNCTION("""COMPUTED_VALUE"""),"9788523712037")</f>
        <v>9788523712037</v>
      </c>
      <c r="H581" s="29" t="str">
        <f>IFERROR(__xludf.DUMMYFUNCTION("""COMPUTED_VALUE"""),"http://www.editora.ufpb.br/sistema/press5/index.php/UFPB/catalog/book/483")</f>
        <v>http://www.editora.ufpb.br/sistema/press5/index.php/UFPB/catalog/book/483</v>
      </c>
      <c r="I581" s="24" t="str">
        <f>IFERROR(__xludf.DUMMYFUNCTION("""COMPUTED_VALUE"""),"Ciências Humanas")</f>
        <v>Ciências Humanas</v>
      </c>
    </row>
    <row r="582">
      <c r="A582" s="24" t="str">
        <f>IFERROR(__xludf.DUMMYFUNCTION("""COMPUTED_VALUE"""),"Língua Brasileira de Sinais - Libras: a formação continuada de professores")</f>
        <v>Língua Brasileira de Sinais - Libras: a formação continuada de professores</v>
      </c>
      <c r="B582" s="24" t="str">
        <f>IFERROR(__xludf.DUMMYFUNCTION("""COMPUTED_VALUE"""),"Eliamar Godoi, Marisa Dias Lima, Valdete A. Borges Andrade, organizadoras")</f>
        <v>Eliamar Godoi, Marisa Dias Lima, Valdete A. Borges Andrade, organizadoras</v>
      </c>
      <c r="C582" s="24" t="str">
        <f>IFERROR(__xludf.DUMMYFUNCTION("""COMPUTED_VALUE"""),"Uberlândia")</f>
        <v>Uberlândia</v>
      </c>
      <c r="D582" s="24" t="str">
        <f>IFERROR(__xludf.DUMMYFUNCTION("""COMPUTED_VALUE"""),"EDUFU")</f>
        <v>EDUFU</v>
      </c>
      <c r="E582" s="25">
        <f>IFERROR(__xludf.DUMMYFUNCTION("""COMPUTED_VALUE"""),2016.0)</f>
        <v>2016</v>
      </c>
      <c r="F582" s="24" t="str">
        <f>IFERROR(__xludf.DUMMYFUNCTION("""COMPUTED_VALUE"""),"Língua de sinais; Língua brasileira de sinais - Formação de professores; Educação inclusiva; Surdos - Educação. I. Godoi, Eliamar. II. Lima, Marisa Dias. III. Andrade, Valdete A. Borges. IV. Título")</f>
        <v>Língua de sinais; Língua brasileira de sinais - Formação de professores; Educação inclusiva; Surdos - Educação. I. Godoi, Eliamar. II. Lima, Marisa Dias. III. Andrade, Valdete A. Borges. IV. Título</v>
      </c>
      <c r="G582" s="28" t="str">
        <f>IFERROR(__xludf.DUMMYFUNCTION("""COMPUTED_VALUE"""),"9788570784186")</f>
        <v>9788570784186</v>
      </c>
      <c r="H582" s="29" t="str">
        <f>IFERROR(__xludf.DUMMYFUNCTION("""COMPUTED_VALUE"""),"http://www.edufu.ufu.br/sites/edufu.ufu.br/files/e-book_lingua_brasileira_de_sinais_v3_2016_0.pdf")</f>
        <v>http://www.edufu.ufu.br/sites/edufu.ufu.br/files/e-book_lingua_brasileira_de_sinais_v3_2016_0.pdf</v>
      </c>
      <c r="I582" s="24" t="str">
        <f>IFERROR(__xludf.DUMMYFUNCTION("""COMPUTED_VALUE"""),"Ciências Humanas")</f>
        <v>Ciências Humanas</v>
      </c>
    </row>
    <row r="583">
      <c r="A583" s="24" t="str">
        <f>IFERROR(__xludf.DUMMYFUNCTION("""COMPUTED_VALUE"""),"Linguagem e construção de identidades")</f>
        <v>Linguagem e construção de identidades</v>
      </c>
      <c r="B583" s="24" t="str">
        <f>IFERROR(__xludf.DUMMYFUNCTION("""COMPUTED_VALUE"""),"Schlickmann, Carlos Arcângelo; Azeredo, Jéferson Luís de; Carvalho, Richarles Souza de")</f>
        <v>Schlickmann, Carlos Arcângelo; Azeredo, Jéferson Luís de; Carvalho, Richarles Souza de</v>
      </c>
      <c r="C583" s="24" t="str">
        <f>IFERROR(__xludf.DUMMYFUNCTION("""COMPUTED_VALUE"""),"Criciúma")</f>
        <v>Criciúma</v>
      </c>
      <c r="D583" s="24" t="str">
        <f>IFERROR(__xludf.DUMMYFUNCTION("""COMPUTED_VALUE"""),"EDIUNESC")</f>
        <v>EDIUNESC</v>
      </c>
      <c r="E583" s="25">
        <f>IFERROR(__xludf.DUMMYFUNCTION("""COMPUTED_VALUE"""),2018.0)</f>
        <v>2018</v>
      </c>
      <c r="F583" s="24" t="str">
        <f>IFERROR(__xludf.DUMMYFUNCTION("""COMPUTED_VALUE"""),"Linguagem e línguas - Filosofia; Identidade; Teoria literária; Análise do discurso")</f>
        <v>Linguagem e línguas - Filosofia; Identidade; Teoria literária; Análise do discurso</v>
      </c>
      <c r="G583" s="28" t="str">
        <f>IFERROR(__xludf.DUMMYFUNCTION("""COMPUTED_VALUE"""),"9788584100880")</f>
        <v>9788584100880</v>
      </c>
      <c r="H583" s="29" t="str">
        <f>IFERROR(__xludf.DUMMYFUNCTION("""COMPUTED_VALUE"""),"http://repositorio.unesc.net/handle/1/5936")</f>
        <v>http://repositorio.unesc.net/handle/1/5936</v>
      </c>
      <c r="I583" s="24" t="str">
        <f>IFERROR(__xludf.DUMMYFUNCTION("""COMPUTED_VALUE"""),"Ciências Humanas")</f>
        <v>Ciências Humanas</v>
      </c>
    </row>
    <row r="584">
      <c r="A584" s="24" t="str">
        <f>IFERROR(__xludf.DUMMYFUNCTION("""COMPUTED_VALUE"""),"Linguagem, Tecnologia e Educação: perspectivas em debate")</f>
        <v>Linguagem, Tecnologia e Educação: perspectivas em debate</v>
      </c>
      <c r="B584" s="24" t="str">
        <f>IFERROR(__xludf.DUMMYFUNCTION("""COMPUTED_VALUE"""),"Robson Santos de Oliveira (org.)")</f>
        <v>Robson Santos de Oliveira (org.)</v>
      </c>
      <c r="C584" s="24" t="str">
        <f>IFERROR(__xludf.DUMMYFUNCTION("""COMPUTED_VALUE"""),"Recife")</f>
        <v>Recife</v>
      </c>
      <c r="D584" s="24" t="str">
        <f>IFERROR(__xludf.DUMMYFUNCTION("""COMPUTED_VALUE"""),"Editora Universitária da UFRPE")</f>
        <v>Editora Universitária da UFRPE</v>
      </c>
      <c r="E584" s="25">
        <f>IFERROR(__xludf.DUMMYFUNCTION("""COMPUTED_VALUE"""),2020.0)</f>
        <v>2020</v>
      </c>
      <c r="F584" s="24" t="str">
        <f>IFERROR(__xludf.DUMMYFUNCTION("""COMPUTED_VALUE"""),"Ensino auxiliado por computador; Tecnologia educacional; Jogos eletrônicos; Educação inclusiva")</f>
        <v>Ensino auxiliado por computador; Tecnologia educacional; Jogos eletrônicos; Educação inclusiva</v>
      </c>
      <c r="G584" s="28" t="str">
        <f>IFERROR(__xludf.DUMMYFUNCTION("""COMPUTED_VALUE"""),"9786586466027")</f>
        <v>9786586466027</v>
      </c>
      <c r="H584" s="29" t="str">
        <f>IFERROR(__xludf.DUMMYFUNCTION("""COMPUTED_VALUE"""),"https://drive.google.com/file/d/1HAHNkYEXffVTB9pLfyoxORhDpTjFHPyy/view")</f>
        <v>https://drive.google.com/file/d/1HAHNkYEXffVTB9pLfyoxORhDpTjFHPyy/view</v>
      </c>
      <c r="I584" s="24" t="str">
        <f>IFERROR(__xludf.DUMMYFUNCTION("""COMPUTED_VALUE"""),"Ciências Humanas")</f>
        <v>Ciências Humanas</v>
      </c>
    </row>
    <row r="585">
      <c r="A585" s="24" t="str">
        <f>IFERROR(__xludf.DUMMYFUNCTION("""COMPUTED_VALUE"""),"Literatura e Filosofia : A Narrativa de Formação Presente nas Tragédias de Sófocles")</f>
        <v>Literatura e Filosofia : A Narrativa de Formação Presente nas Tragédias de Sófocles</v>
      </c>
      <c r="B585" s="24" t="str">
        <f>IFERROR(__xludf.DUMMYFUNCTION("""COMPUTED_VALUE"""),"Helder Félix Pereira de Souza, Valquiria Vasconcelos da Piedade Souza.")</f>
        <v>Helder Félix Pereira de Souza, Valquiria Vasconcelos da Piedade Souza.</v>
      </c>
      <c r="C585" s="24" t="str">
        <f>IFERROR(__xludf.DUMMYFUNCTION("""COMPUTED_VALUE"""),"Blumenau")</f>
        <v>Blumenau</v>
      </c>
      <c r="D585" s="24" t="str">
        <f>IFERROR(__xludf.DUMMYFUNCTION("""COMPUTED_VALUE"""),"Instituto Federal Catarinense")</f>
        <v>Instituto Federal Catarinense</v>
      </c>
      <c r="E585" s="25">
        <f>IFERROR(__xludf.DUMMYFUNCTION("""COMPUTED_VALUE"""),2019.0)</f>
        <v>2019</v>
      </c>
      <c r="F585" s="24" t="str">
        <f>IFERROR(__xludf.DUMMYFUNCTION("""COMPUTED_VALUE"""),"Perspectivismo nietzschiano. Ontologia do presente. Literatura sofocleana. Filosofia")</f>
        <v>Perspectivismo nietzschiano. Ontologia do presente. Literatura sofocleana. Filosofia</v>
      </c>
      <c r="G585" s="28" t="str">
        <f>IFERROR(__xludf.DUMMYFUNCTION("""COMPUTED_VALUE"""),"9788556440457")</f>
        <v>9788556440457</v>
      </c>
      <c r="H585" s="29" t="str">
        <f>IFERROR(__xludf.DUMMYFUNCTION("""COMPUTED_VALUE"""),"https://editora.ifc.edu.br/2019/11/18/literatura-e-filosofia-a-narrativa-de-formacao-presente-nas-tragedias-de-sofocles/")</f>
        <v>https://editora.ifc.edu.br/2019/11/18/literatura-e-filosofia-a-narrativa-de-formacao-presente-nas-tragedias-de-sofocles/</v>
      </c>
      <c r="I585" s="24" t="str">
        <f>IFERROR(__xludf.DUMMYFUNCTION("""COMPUTED_VALUE"""),"Ciências Humanas")</f>
        <v>Ciências Humanas</v>
      </c>
    </row>
    <row r="586">
      <c r="A586" s="24" t="str">
        <f>IFERROR(__xludf.DUMMYFUNCTION("""COMPUTED_VALUE"""),"Literatura e os rastros do sagrado")</f>
        <v>Literatura e os rastros do sagrado</v>
      </c>
      <c r="B586" s="24" t="str">
        <f>IFERROR(__xludf.DUMMYFUNCTION("""COMPUTED_VALUE"""),"Antonio Carlos de Melo Magalhães; Eli Brandão da Silva (org.)")</f>
        <v>Antonio Carlos de Melo Magalhães; Eli Brandão da Silva (org.)</v>
      </c>
      <c r="C586" s="24" t="str">
        <f>IFERROR(__xludf.DUMMYFUNCTION("""COMPUTED_VALUE"""),"Campina Grande")</f>
        <v>Campina Grande</v>
      </c>
      <c r="D586" s="24" t="str">
        <f>IFERROR(__xludf.DUMMYFUNCTION("""COMPUTED_VALUE"""),"EDUEPB")</f>
        <v>EDUEPB</v>
      </c>
      <c r="E586" s="25">
        <f>IFERROR(__xludf.DUMMYFUNCTION("""COMPUTED_VALUE"""),2019.0)</f>
        <v>2019</v>
      </c>
      <c r="F586" s="24" t="str">
        <f>IFERROR(__xludf.DUMMYFUNCTION("""COMPUTED_VALUE"""),"Teologia. Religião. Filosofia. Literatura. Valter Hugo Mãe")</f>
        <v>Teologia. Religião. Filosofia. Literatura. Valter Hugo Mãe</v>
      </c>
      <c r="G586" s="28" t="str">
        <f>IFERROR(__xludf.DUMMYFUNCTION("""COMPUTED_VALUE"""),"9788578794118")</f>
        <v>9788578794118</v>
      </c>
      <c r="H586" s="29" t="str">
        <f>IFERROR(__xludf.DUMMYFUNCTION("""COMPUTED_VALUE"""),"http://eduepb.uepb.edu.br/download/literatura-e-os-rastros-do-sagrado-2/?wpdmdl=842&amp;#038;masterkey=5d8274514fed6")</f>
        <v>http://eduepb.uepb.edu.br/download/literatura-e-os-rastros-do-sagrado-2/?wpdmdl=842&amp;#038;masterkey=5d8274514fed6</v>
      </c>
      <c r="I586" s="24" t="str">
        <f>IFERROR(__xludf.DUMMYFUNCTION("""COMPUTED_VALUE"""),"Ciências Humanas")</f>
        <v>Ciências Humanas</v>
      </c>
    </row>
    <row r="587">
      <c r="A587" s="24" t="str">
        <f>IFERROR(__xludf.DUMMYFUNCTION("""COMPUTED_VALUE"""),"Livres e pobres no centro da América do Sul um estudo sobre os camaradas (1808-1850) ")</f>
        <v>Livres e pobres no centro da América do Sul um estudo sobre os camaradas (1808-1850) </v>
      </c>
      <c r="B587" s="24" t="str">
        <f>IFERROR(__xludf.DUMMYFUNCTION("""COMPUTED_VALUE"""),"Divino Marcos de Sena ")</f>
        <v>Divino Marcos de Sena </v>
      </c>
      <c r="C587" s="24" t="str">
        <f>IFERROR(__xludf.DUMMYFUNCTION("""COMPUTED_VALUE"""),"Dourados, MS")</f>
        <v>Dourados, MS</v>
      </c>
      <c r="D587" s="24" t="str">
        <f>IFERROR(__xludf.DUMMYFUNCTION("""COMPUTED_VALUE"""),"Ed. da UFGD")</f>
        <v>Ed. da UFGD</v>
      </c>
      <c r="E587" s="25">
        <f>IFERROR(__xludf.DUMMYFUNCTION("""COMPUTED_VALUE"""),2013.0)</f>
        <v>2013</v>
      </c>
      <c r="F587" s="24" t="str">
        <f>IFERROR(__xludf.DUMMYFUNCTION("""COMPUTED_VALUE"""),"História – Brasil; População rural")</f>
        <v>História – Brasil; População rural</v>
      </c>
      <c r="G587" s="28" t="str">
        <f>IFERROR(__xludf.DUMMYFUNCTION("""COMPUTED_VALUE"""),"9788581470474")</f>
        <v>9788581470474</v>
      </c>
      <c r="H587" s="29" t="str">
        <f>IFERROR(__xludf.DUMMYFUNCTION("""COMPUTED_VALUE"""),"http://omp.ufgd.edu.br/omp/index.php/livrosabertos/catalog/view/138/205/486-1")</f>
        <v>http://omp.ufgd.edu.br/omp/index.php/livrosabertos/catalog/view/138/205/486-1</v>
      </c>
      <c r="I587" s="24" t="str">
        <f>IFERROR(__xludf.DUMMYFUNCTION("""COMPUTED_VALUE"""),"Ciências Humanas")</f>
        <v>Ciências Humanas</v>
      </c>
    </row>
    <row r="588">
      <c r="A588" s="24" t="str">
        <f>IFERROR(__xludf.DUMMYFUNCTION("""COMPUTED_VALUE"""),"Loucura(s) e família(s): análise de práticas discursivas. ")</f>
        <v>Loucura(s) e família(s): análise de práticas discursivas. </v>
      </c>
      <c r="B588" s="24" t="str">
        <f>IFERROR(__xludf.DUMMYFUNCTION("""COMPUTED_VALUE"""),"Cristine Gorski Severo")</f>
        <v>Cristine Gorski Severo</v>
      </c>
      <c r="C588" s="24" t="str">
        <f>IFERROR(__xludf.DUMMYFUNCTION("""COMPUTED_VALUE"""),"Dourados, MS")</f>
        <v>Dourados, MS</v>
      </c>
      <c r="D588" s="24" t="str">
        <f>IFERROR(__xludf.DUMMYFUNCTION("""COMPUTED_VALUE"""),"Ed. da UFGD")</f>
        <v>Ed. da UFGD</v>
      </c>
      <c r="E588" s="25">
        <f>IFERROR(__xludf.DUMMYFUNCTION("""COMPUTED_VALUE"""),2009.0)</f>
        <v>2009</v>
      </c>
      <c r="F588" s="24" t="str">
        <f>IFERROR(__xludf.DUMMYFUNCTION("""COMPUTED_VALUE"""),"Análise do discurso; Práticas discursivas; Loucura; Família; Saúde mental")</f>
        <v>Análise do discurso; Práticas discursivas; Loucura; Família; Saúde mental</v>
      </c>
      <c r="G588" s="28" t="str">
        <f>IFERROR(__xludf.DUMMYFUNCTION("""COMPUTED_VALUE"""),"9788561228422")</f>
        <v>9788561228422</v>
      </c>
      <c r="H588" s="29" t="str">
        <f>IFERROR(__xludf.DUMMYFUNCTION("""COMPUTED_VALUE"""),"http://omp.ufgd.edu.br/omp/index.php/livrosabertos/catalog/view/139/204/485-1")</f>
        <v>http://omp.ufgd.edu.br/omp/index.php/livrosabertos/catalog/view/139/204/485-1</v>
      </c>
      <c r="I588" s="24" t="str">
        <f>IFERROR(__xludf.DUMMYFUNCTION("""COMPUTED_VALUE"""),"Ciências Humanas")</f>
        <v>Ciências Humanas</v>
      </c>
    </row>
    <row r="589">
      <c r="A589" s="24" t="str">
        <f>IFERROR(__xludf.DUMMYFUNCTION("""COMPUTED_VALUE"""),"Lucien Febvre, Marc Bloch e as ciências históricas alemãs (1928-1944)")</f>
        <v>Lucien Febvre, Marc Bloch e as ciências históricas alemãs (1928-1944)</v>
      </c>
      <c r="B589" s="24" t="str">
        <f>IFERROR(__xludf.DUMMYFUNCTION("""COMPUTED_VALUE"""),"Sabrina Magalhães Rocha")</f>
        <v>Sabrina Magalhães Rocha</v>
      </c>
      <c r="C589" s="24" t="str">
        <f>IFERROR(__xludf.DUMMYFUNCTION("""COMPUTED_VALUE"""),"Ouro Preto")</f>
        <v>Ouro Preto</v>
      </c>
      <c r="D589" s="24" t="str">
        <f>IFERROR(__xludf.DUMMYFUNCTION("""COMPUTED_VALUE"""),"UFOP")</f>
        <v>UFOP</v>
      </c>
      <c r="E589" s="25">
        <f>IFERROR(__xludf.DUMMYFUNCTION("""COMPUTED_VALUE"""),2012.0)</f>
        <v>2012</v>
      </c>
      <c r="F589" s="24" t="str">
        <f>IFERROR(__xludf.DUMMYFUNCTION("""COMPUTED_VALUE"""),"Alemanha-história. Historiadores. França")</f>
        <v>Alemanha-história. Historiadores. França</v>
      </c>
      <c r="G589" s="28" t="str">
        <f>IFERROR(__xludf.DUMMYFUNCTION("""COMPUTED_VALUE"""),"9788528802917")</f>
        <v>9788528802917</v>
      </c>
      <c r="H589" s="29" t="str">
        <f>IFERROR(__xludf.DUMMYFUNCTION("""COMPUTED_VALUE"""),"https://www.editora.ufop.br/index.php/editora/catalog/view/44/30/102-1")</f>
        <v>https://www.editora.ufop.br/index.php/editora/catalog/view/44/30/102-1</v>
      </c>
      <c r="I589" s="24" t="str">
        <f>IFERROR(__xludf.DUMMYFUNCTION("""COMPUTED_VALUE"""),"Ciências Humanas")</f>
        <v>Ciências Humanas</v>
      </c>
    </row>
    <row r="590">
      <c r="A590" s="24" t="str">
        <f>IFERROR(__xludf.DUMMYFUNCTION("""COMPUTED_VALUE"""),"Luzes, câmera, palavras!")</f>
        <v>Luzes, câmera, palavras!</v>
      </c>
      <c r="B590" s="24" t="str">
        <f>IFERROR(__xludf.DUMMYFUNCTION("""COMPUTED_VALUE"""),"Francisco de Moura Pinheiro; Organizador ")</f>
        <v>Francisco de Moura Pinheiro; Organizador </v>
      </c>
      <c r="C590" s="24" t="str">
        <f>IFERROR(__xludf.DUMMYFUNCTION("""COMPUTED_VALUE"""),"Rio Branco")</f>
        <v>Rio Branco</v>
      </c>
      <c r="D590" s="24" t="str">
        <f>IFERROR(__xludf.DUMMYFUNCTION("""COMPUTED_VALUE"""),"Edufac")</f>
        <v>Edufac</v>
      </c>
      <c r="E590" s="25">
        <f>IFERROR(__xludf.DUMMYFUNCTION("""COMPUTED_VALUE"""),2013.0)</f>
        <v>2013</v>
      </c>
      <c r="F590" s="24" t="str">
        <f>IFERROR(__xludf.DUMMYFUNCTION("""COMPUTED_VALUE"""),"Análise cinematográfica; Cinema – Teoria; Documentário (cinema) – Análise; Filmes cinematográficos – Ficções – Análise; Cinema regional – Amazônia")</f>
        <v>Análise cinematográfica; Cinema – Teoria; Documentário (cinema) – Análise; Filmes cinematográficos – Ficções – Análise; Cinema regional – Amazônia</v>
      </c>
      <c r="G590" s="28" t="str">
        <f>IFERROR(__xludf.DUMMYFUNCTION("""COMPUTED_VALUE"""),"9788582360040")</f>
        <v>9788582360040</v>
      </c>
      <c r="H590" s="29" t="str">
        <f>IFERROR(__xludf.DUMMYFUNCTION("""COMPUTED_VALUE"""),"http://www2.ufac.br/editora/livros/luzes-camera-palavras.pdf")</f>
        <v>http://www2.ufac.br/editora/livros/luzes-camera-palavras.pdf</v>
      </c>
      <c r="I590" s="24" t="str">
        <f>IFERROR(__xludf.DUMMYFUNCTION("""COMPUTED_VALUE"""),"Ciências Humanas")</f>
        <v>Ciências Humanas</v>
      </c>
    </row>
    <row r="591">
      <c r="A591" s="24" t="str">
        <f>IFERROR(__xludf.DUMMYFUNCTION("""COMPUTED_VALUE"""),"Mais Cultura")</f>
        <v>Mais Cultura</v>
      </c>
      <c r="B591" s="24" t="str">
        <f>IFERROR(__xludf.DUMMYFUNCTION("""COMPUTED_VALUE"""),"Jorge A. González")</f>
        <v>Jorge A. González</v>
      </c>
      <c r="C591" s="24" t="str">
        <f>IFERROR(__xludf.DUMMYFUNCTION("""COMPUTED_VALUE"""),"Campina Grande")</f>
        <v>Campina Grande</v>
      </c>
      <c r="D591" s="24" t="str">
        <f>IFERROR(__xludf.DUMMYFUNCTION("""COMPUTED_VALUE"""),"EDUEPB")</f>
        <v>EDUEPB</v>
      </c>
      <c r="E591" s="25">
        <f>IFERROR(__xludf.DUMMYFUNCTION("""COMPUTED_VALUE"""),2017.0)</f>
        <v>2017</v>
      </c>
      <c r="F591" s="24" t="str">
        <f>IFERROR(__xludf.DUMMYFUNCTION("""COMPUTED_VALUE"""),"Culturas. Comunicação. Sociedade. Antropologia. Televisão. Novelas")</f>
        <v>Culturas. Comunicação. Sociedade. Antropologia. Televisão. Novelas</v>
      </c>
      <c r="G591" s="28" t="str">
        <f>IFERROR(__xludf.DUMMYFUNCTION("""COMPUTED_VALUE"""),"9788578793876")</f>
        <v>9788578793876</v>
      </c>
      <c r="H591" s="29" t="str">
        <f>IFERROR(__xludf.DUMMYFUNCTION("""COMPUTED_VALUE"""),"http://eduepb.uepb.edu.br/download/mais-cultura/?wpdmdl=195&amp;amp;masterkey=5af99c4511480")</f>
        <v>http://eduepb.uepb.edu.br/download/mais-cultura/?wpdmdl=195&amp;amp;masterkey=5af99c4511480</v>
      </c>
      <c r="I591" s="24" t="str">
        <f>IFERROR(__xludf.DUMMYFUNCTION("""COMPUTED_VALUE"""),"Ciências Humanas")</f>
        <v>Ciências Humanas</v>
      </c>
    </row>
    <row r="592">
      <c r="A592" s="24" t="str">
        <f>IFERROR(__xludf.DUMMYFUNCTION("""COMPUTED_VALUE"""),"Manual prático para alfabetização de surdos")</f>
        <v>Manual prático para alfabetização de surdos</v>
      </c>
      <c r="B592" s="24" t="str">
        <f>IFERROR(__xludf.DUMMYFUNCTION("""COMPUTED_VALUE"""),"Chaves, Lucimara")</f>
        <v>Chaves, Lucimara</v>
      </c>
      <c r="C592" s="24" t="str">
        <f>IFERROR(__xludf.DUMMYFUNCTION("""COMPUTED_VALUE"""),"Porto Alegre, RS")</f>
        <v>Porto Alegre, RS</v>
      </c>
      <c r="D592" s="24" t="str">
        <f>IFERROR(__xludf.DUMMYFUNCTION("""COMPUTED_VALUE"""),"Editora Universitária Metodista")</f>
        <v>Editora Universitária Metodista</v>
      </c>
      <c r="E592" s="25">
        <f>IFERROR(__xludf.DUMMYFUNCTION("""COMPUTED_VALUE"""),2016.0)</f>
        <v>2016</v>
      </c>
      <c r="F592" s="24" t="str">
        <f>IFERROR(__xludf.DUMMYFUNCTION("""COMPUTED_VALUE"""),"Surdo. Educação. Meios de Comunicação. Língua de Sinais")</f>
        <v>Surdo. Educação. Meios de Comunicação. Língua de Sinais</v>
      </c>
      <c r="G592" s="28" t="str">
        <f>IFERROR(__xludf.DUMMYFUNCTION("""COMPUTED_VALUE"""),"9788599738528")</f>
        <v>9788599738528</v>
      </c>
      <c r="H592" s="29" t="str">
        <f>IFERROR(__xludf.DUMMYFUNCTION("""COMPUTED_VALUE"""),"http://editora.metodista.br/livros-gratis/Manual%20para%20Surdos.pdf/at_download/file")</f>
        <v>http://editora.metodista.br/livros-gratis/Manual%20para%20Surdos.pdf/at_download/file</v>
      </c>
      <c r="I592" s="24" t="str">
        <f>IFERROR(__xludf.DUMMYFUNCTION("""COMPUTED_VALUE"""),"Ciências Humanas")</f>
        <v>Ciências Humanas</v>
      </c>
    </row>
    <row r="593">
      <c r="A593" s="24" t="str">
        <f>IFERROR(__xludf.DUMMYFUNCTION("""COMPUTED_VALUE"""),"Mar, Navegações e Educação")</f>
        <v>Mar, Navegações e Educação</v>
      </c>
      <c r="B593" s="24" t="str">
        <f>IFERROR(__xludf.DUMMYFUNCTION("""COMPUTED_VALUE"""),"Susana Taulé Piñol")</f>
        <v>Susana Taulé Piñol</v>
      </c>
      <c r="C593" s="24" t="str">
        <f>IFERROR(__xludf.DUMMYFUNCTION("""COMPUTED_VALUE"""),"Blumenau")</f>
        <v>Blumenau</v>
      </c>
      <c r="D593" s="24" t="str">
        <f>IFERROR(__xludf.DUMMYFUNCTION("""COMPUTED_VALUE"""),"Instituto Federal Catarinense")</f>
        <v>Instituto Federal Catarinense</v>
      </c>
      <c r="E593" s="25">
        <f>IFERROR(__xludf.DUMMYFUNCTION("""COMPUTED_VALUE"""),2017.0)</f>
        <v>2017</v>
      </c>
      <c r="F593" s="24" t="str">
        <f>IFERROR(__xludf.DUMMYFUNCTION("""COMPUTED_VALUE"""),"Educação Museu Nacional do Mar. Vida no mar. Arte e; diversidade cultural. Biologia marinha. Embarcações brasileiras. Turismo pedagógico")</f>
        <v>Educação Museu Nacional do Mar. Vida no mar. Arte e; diversidade cultural. Biologia marinha. Embarcações brasileiras. Turismo pedagógico</v>
      </c>
      <c r="G593" s="28" t="str">
        <f>IFERROR(__xludf.DUMMYFUNCTION("""COMPUTED_VALUE"""),"9788556440129")</f>
        <v>9788556440129</v>
      </c>
      <c r="H593" s="29" t="str">
        <f>IFERROR(__xludf.DUMMYFUNCTION("""COMPUTED_VALUE"""),"https://editora.ifc.edu.br/2017/12/21/mar-navegacoes-e-educacao/")</f>
        <v>https://editora.ifc.edu.br/2017/12/21/mar-navegacoes-e-educacao/</v>
      </c>
      <c r="I593" s="24" t="str">
        <f>IFERROR(__xludf.DUMMYFUNCTION("""COMPUTED_VALUE"""),"Ciências Humanas")</f>
        <v>Ciências Humanas</v>
      </c>
    </row>
    <row r="594">
      <c r="A594" s="24" t="str">
        <f>IFERROR(__xludf.DUMMYFUNCTION("""COMPUTED_VALUE"""),"Maricota e as formigas: caderno de atividades")</f>
        <v>Maricota e as formigas: caderno de atividades</v>
      </c>
      <c r="B594" s="24" t="str">
        <f>IFERROR(__xludf.DUMMYFUNCTION("""COMPUTED_VALUE"""),"Organização: Neila Brasil Bruno, Ozenilda Leal dos Reis Carvalho ")</f>
        <v>Organização: Neila Brasil Bruno, Ozenilda Leal dos Reis Carvalho </v>
      </c>
      <c r="C594" s="24"/>
      <c r="D594" s="24"/>
      <c r="E594" s="25"/>
      <c r="F594" s="24"/>
      <c r="G594" s="26"/>
      <c r="H594" s="29" t="str">
        <f>IFERROR(__xludf.DUMMYFUNCTION("""COMPUTED_VALUE"""),"http://www.uesc.br/editora/livrosdigitais2017/caderno_atividades_maricota.pdf")</f>
        <v>http://www.uesc.br/editora/livrosdigitais2017/caderno_atividades_maricota.pdf</v>
      </c>
      <c r="I594" s="24" t="str">
        <f>IFERROR(__xludf.DUMMYFUNCTION("""COMPUTED_VALUE"""),"Ciências Humanas")</f>
        <v>Ciências Humanas</v>
      </c>
    </row>
    <row r="595">
      <c r="A595" s="24" t="str">
        <f>IFERROR(__xludf.DUMMYFUNCTION("""COMPUTED_VALUE"""),"Marquei aquele lugar com o suor do meu rosto”: os colonos da Colônia Agrícola Nacional de Dourados – CAND (1943 - 1960) ")</f>
        <v>Marquei aquele lugar com o suor do meu rosto”: os colonos da Colônia Agrícola Nacional de Dourados – CAND (1943 - 1960) </v>
      </c>
      <c r="B595" s="24" t="str">
        <f>IFERROR(__xludf.DUMMYFUNCTION("""COMPUTED_VALUE"""),"Suzana Gonçalves Batista Naglis")</f>
        <v>Suzana Gonçalves Batista Naglis</v>
      </c>
      <c r="C595" s="24" t="str">
        <f>IFERROR(__xludf.DUMMYFUNCTION("""COMPUTED_VALUE"""),"Dourados, MS")</f>
        <v>Dourados, MS</v>
      </c>
      <c r="D595" s="24" t="str">
        <f>IFERROR(__xludf.DUMMYFUNCTION("""COMPUTED_VALUE"""),"Ed. da UFGD")</f>
        <v>Ed. da UFGD</v>
      </c>
      <c r="E595" s="25">
        <f>IFERROR(__xludf.DUMMYFUNCTION("""COMPUTED_VALUE"""),2014.0)</f>
        <v>2014</v>
      </c>
      <c r="F595" s="24" t="str">
        <f>IFERROR(__xludf.DUMMYFUNCTION("""COMPUTED_VALUE"""),"Dourados/MS – História; Colônia Agrícola Nacional de Dourados - Mato Grosso do Sul")</f>
        <v>Dourados/MS – História; Colônia Agrícola Nacional de Dourados - Mato Grosso do Sul</v>
      </c>
      <c r="G595" s="28" t="str">
        <f>IFERROR(__xludf.DUMMYFUNCTION("""COMPUTED_VALUE"""),"9788581470160")</f>
        <v>9788581470160</v>
      </c>
      <c r="H595" s="29" t="str">
        <f>IFERROR(__xludf.DUMMYFUNCTION("""COMPUTED_VALUE"""),"http://omp.ufgd.edu.br/omp/index.php/livrosabertos/catalog/view/141/202/483-1")</f>
        <v>http://omp.ufgd.edu.br/omp/index.php/livrosabertos/catalog/view/141/202/483-1</v>
      </c>
      <c r="I595" s="24" t="str">
        <f>IFERROR(__xludf.DUMMYFUNCTION("""COMPUTED_VALUE"""),"Ciências Humanas")</f>
        <v>Ciências Humanas</v>
      </c>
    </row>
    <row r="596">
      <c r="A596" s="24" t="str">
        <f>IFERROR(__xludf.DUMMYFUNCTION("""COMPUTED_VALUE"""),"Martin Buber e o sentido da educação")</f>
        <v>Martin Buber e o sentido da educação</v>
      </c>
      <c r="B596" s="24" t="str">
        <f>IFERROR(__xludf.DUMMYFUNCTION("""COMPUTED_VALUE"""),"Gizele Geralda Parreira")</f>
        <v>Gizele Geralda Parreira</v>
      </c>
      <c r="C596" s="24" t="str">
        <f>IFERROR(__xludf.DUMMYFUNCTION("""COMPUTED_VALUE"""),"Goiânia, GO")</f>
        <v>Goiânia, GO</v>
      </c>
      <c r="D596" s="24" t="str">
        <f>IFERROR(__xludf.DUMMYFUNCTION("""COMPUTED_VALUE"""),"Editora IFG")</f>
        <v>Editora IFG</v>
      </c>
      <c r="E596" s="25">
        <f>IFERROR(__xludf.DUMMYFUNCTION("""COMPUTED_VALUE"""),2016.0)</f>
        <v>2016</v>
      </c>
      <c r="F596" s="24" t="str">
        <f>IFERROR(__xludf.DUMMYFUNCTION("""COMPUTED_VALUE"""),"Martin Buber; Educação; Relação dialógica; Educação – filosofia; Educação – perspectiva humana")</f>
        <v>Martin Buber; Educação; Relação dialógica; Educação – filosofia; Educação – perspectiva humana</v>
      </c>
      <c r="G596" s="28" t="str">
        <f>IFERROR(__xludf.DUMMYFUNCTION("""COMPUTED_VALUE"""),"9788567022086")</f>
        <v>9788567022086</v>
      </c>
      <c r="H596" s="29" t="str">
        <f>IFERROR(__xludf.DUMMYFUNCTION("""COMPUTED_VALUE"""),"https://editora.ifg.edu.br/editoraifg/catalog/view/2/1/23-2")</f>
        <v>https://editora.ifg.edu.br/editoraifg/catalog/view/2/1/23-2</v>
      </c>
      <c r="I596" s="24" t="str">
        <f>IFERROR(__xludf.DUMMYFUNCTION("""COMPUTED_VALUE"""),"Ciências Humanas")</f>
        <v>Ciências Humanas</v>
      </c>
    </row>
    <row r="597">
      <c r="A597" s="24" t="str">
        <f>IFERROR(__xludf.DUMMYFUNCTION("""COMPUTED_VALUE"""),"Maternidade e solidão: relatos de professoras em tempos de pandemia")</f>
        <v>Maternidade e solidão: relatos de professoras em tempos de pandemia</v>
      </c>
      <c r="B597" s="24" t="str">
        <f>IFERROR(__xludf.DUMMYFUNCTION("""COMPUTED_VALUE"""),"Ana Carolina da Costa e Fonseca")</f>
        <v>Ana Carolina da Costa e Fonseca</v>
      </c>
      <c r="C597" s="24" t="str">
        <f>IFERROR(__xludf.DUMMYFUNCTION("""COMPUTED_VALUE"""),"Porto Alegre")</f>
        <v>Porto Alegre</v>
      </c>
      <c r="D597" s="24" t="str">
        <f>IFERROR(__xludf.DUMMYFUNCTION("""COMPUTED_VALUE"""),"UFCSPA ")</f>
        <v>UFCSPA </v>
      </c>
      <c r="E597" s="25">
        <f>IFERROR(__xludf.DUMMYFUNCTION("""COMPUTED_VALUE"""),2020.0)</f>
        <v>2020</v>
      </c>
      <c r="F597" s="24" t="str">
        <f>IFERROR(__xludf.DUMMYFUNCTION("""COMPUTED_VALUE"""),"Comportamento Materno Relações Mãe-Filho Solidão Isolamento Social")</f>
        <v>Comportamento Materno Relações Mãe-Filho Solidão Isolamento Social</v>
      </c>
      <c r="G597" s="28" t="str">
        <f>IFERROR(__xludf.DUMMYFUNCTION("""COMPUTED_VALUE"""),"9786587950068")</f>
        <v>9786587950068</v>
      </c>
      <c r="H597" s="29" t="str">
        <f>IFERROR(__xludf.DUMMYFUNCTION("""COMPUTED_VALUE"""),"https://www.ufcspa.edu.br/editora_log/download.php?cod=016&amp;tipo=pdf")</f>
        <v>https://www.ufcspa.edu.br/editora_log/download.php?cod=016&amp;tipo=pdf</v>
      </c>
      <c r="I597" s="24" t="str">
        <f>IFERROR(__xludf.DUMMYFUNCTION("""COMPUTED_VALUE"""),"Ciências Humanas")</f>
        <v>Ciências Humanas</v>
      </c>
    </row>
    <row r="598">
      <c r="A598" s="24" t="str">
        <f>IFERROR(__xludf.DUMMYFUNCTION("""COMPUTED_VALUE"""),"Mato Grosso do Sul no contexto dos novos paradigmas de integração e desenvolvimento nacional.")</f>
        <v>Mato Grosso do Sul no contexto dos novos paradigmas de integração e desenvolvimento nacional.</v>
      </c>
      <c r="B598" s="24" t="str">
        <f>IFERROR(__xludf.DUMMYFUNCTION("""COMPUTED_VALUE"""),"Adáuto de Oliveira Souza")</f>
        <v>Adáuto de Oliveira Souza</v>
      </c>
      <c r="C598" s="24" t="str">
        <f>IFERROR(__xludf.DUMMYFUNCTION("""COMPUTED_VALUE"""),"Dourados, MS")</f>
        <v>Dourados, MS</v>
      </c>
      <c r="D598" s="24" t="str">
        <f>IFERROR(__xludf.DUMMYFUNCTION("""COMPUTED_VALUE"""),"Ed. da UFGD")</f>
        <v>Ed. da UFGD</v>
      </c>
      <c r="E598" s="25">
        <f>IFERROR(__xludf.DUMMYFUNCTION("""COMPUTED_VALUE"""),2008.0)</f>
        <v>2008</v>
      </c>
      <c r="F598" s="24" t="str">
        <f>IFERROR(__xludf.DUMMYFUNCTION("""COMPUTED_VALUE"""),"Desenvolvimento regional – Mato Grosso do Sul; Políticas públicas – Brasil. 3 Políticas e diretrizes - Mato Grosso do Sul; Eixos Nacionais de Integração e Desenvolvimento")</f>
        <v>Desenvolvimento regional – Mato Grosso do Sul; Políticas públicas – Brasil. 3 Políticas e diretrizes - Mato Grosso do Sul; Eixos Nacionais de Integração e Desenvolvimento</v>
      </c>
      <c r="G598" s="28" t="str">
        <f>IFERROR(__xludf.DUMMYFUNCTION("""COMPUTED_VALUE"""),"9788561228125")</f>
        <v>9788561228125</v>
      </c>
      <c r="H598" s="29" t="str">
        <f>IFERROR(__xludf.DUMMYFUNCTION("""COMPUTED_VALUE"""),"http://omp.ufgd.edu.br/omp/index.php/livrosabertos/catalog/view/142/201/482-1")</f>
        <v>http://omp.ufgd.edu.br/omp/index.php/livrosabertos/catalog/view/142/201/482-1</v>
      </c>
      <c r="I598" s="24" t="str">
        <f>IFERROR(__xludf.DUMMYFUNCTION("""COMPUTED_VALUE"""),"Ciências Humanas")</f>
        <v>Ciências Humanas</v>
      </c>
    </row>
    <row r="599">
      <c r="A599" s="24" t="str">
        <f>IFERROR(__xludf.DUMMYFUNCTION("""COMPUTED_VALUE"""),"Max Weber: religião, valores e teoria do conhecimento")</f>
        <v>Max Weber: religião, valores e teoria do conhecimento</v>
      </c>
      <c r="B599" s="24" t="str">
        <f>IFERROR(__xludf.DUMMYFUNCTION("""COMPUTED_VALUE"""),"Marcos César Seneda, Henrique Florentino Faria Custódio (organizadores)")</f>
        <v>Marcos César Seneda, Henrique Florentino Faria Custódio (organizadores)</v>
      </c>
      <c r="C599" s="24" t="str">
        <f>IFERROR(__xludf.DUMMYFUNCTION("""COMPUTED_VALUE"""),"Uberlândia")</f>
        <v>Uberlândia</v>
      </c>
      <c r="D599" s="24" t="str">
        <f>IFERROR(__xludf.DUMMYFUNCTION("""COMPUTED_VALUE"""),"EDUFU")</f>
        <v>EDUFU</v>
      </c>
      <c r="E599" s="25">
        <f>IFERROR(__xludf.DUMMYFUNCTION("""COMPUTED_VALUE"""),2016.0)</f>
        <v>2016</v>
      </c>
      <c r="F599" s="24" t="str">
        <f>IFERROR(__xludf.DUMMYFUNCTION("""COMPUTED_VALUE"""),"Sociologia; Weber,Max,1864-1920; Religião e Sociologia; Tipologia(Teologia).I.Seneda, Marcos César,1968-.II.Custódio, Henrique Florentino Faria.III.Título")</f>
        <v>Sociologia; Weber,Max,1864-1920; Religião e Sociologia; Tipologia(Teologia).I.Seneda, Marcos César,1968-.II.Custódio, Henrique Florentino Faria.III.Título</v>
      </c>
      <c r="G599" s="28" t="str">
        <f>IFERROR(__xludf.DUMMYFUNCTION("""COMPUTED_VALUE"""),"9788570784506")</f>
        <v>9788570784506</v>
      </c>
      <c r="H599" s="29" t="str">
        <f>IFERROR(__xludf.DUMMYFUNCTION("""COMPUTED_VALUE"""),"http://www.edufu.ufu.br/sites/edufu.ufu.br/files/e-book_max_weber_2016_0.pdf")</f>
        <v>http://www.edufu.ufu.br/sites/edufu.ufu.br/files/e-book_max_weber_2016_0.pdf</v>
      </c>
      <c r="I599" s="24" t="str">
        <f>IFERROR(__xludf.DUMMYFUNCTION("""COMPUTED_VALUE"""),"Ciências Humanas")</f>
        <v>Ciências Humanas</v>
      </c>
    </row>
    <row r="600">
      <c r="A600" s="24" t="str">
        <f>IFERROR(__xludf.DUMMYFUNCTION("""COMPUTED_VALUE"""),"Mejigã e o contexto da escravidão ")</f>
        <v>Mejigã e o contexto da escravidão </v>
      </c>
      <c r="B600" s="24" t="str">
        <f>IFERROR(__xludf.DUMMYFUNCTION("""COMPUTED_VALUE"""),"Rui do Carmo Póvoas (org.)")</f>
        <v>Rui do Carmo Póvoas (org.)</v>
      </c>
      <c r="C600" s="24" t="str">
        <f>IFERROR(__xludf.DUMMYFUNCTION("""COMPUTED_VALUE"""),"Ilhéus, BA")</f>
        <v>Ilhéus, BA</v>
      </c>
      <c r="D600" s="24" t="str">
        <f>IFERROR(__xludf.DUMMYFUNCTION("""COMPUTED_VALUE"""),"Editus")</f>
        <v>Editus</v>
      </c>
      <c r="E600" s="25">
        <f>IFERROR(__xludf.DUMMYFUNCTION("""COMPUTED_VALUE"""),2012.0)</f>
        <v>2012</v>
      </c>
      <c r="F600" s="24" t="str">
        <f>IFERROR(__xludf.DUMMYFUNCTION("""COMPUTED_VALUE"""),"Escravidão – Bahia (Região Sul) – Sec. XIX –; Coletânea; Mejigã- História; Candomblé (culto) –; Ilhéus (BA); Cultos afro-brasileiros; Bahia – Religião - Inflência africana")</f>
        <v>Escravidão – Bahia (Região Sul) – Sec. XIX –; Coletânea; Mejigã- História; Candomblé (culto) –; Ilhéus (BA); Cultos afro-brasileiros; Bahia – Religião - Inflência africana</v>
      </c>
      <c r="G600" s="28" t="str">
        <f>IFERROR(__xludf.DUMMYFUNCTION("""COMPUTED_VALUE"""),"9788574552675")</f>
        <v>9788574552675</v>
      </c>
      <c r="H600" s="29" t="str">
        <f>IFERROR(__xludf.DUMMYFUNCTION("""COMPUTED_VALUE"""),"http://www.uesc.br/editora/livrosdigitais2015/mejiga.pdf")</f>
        <v>http://www.uesc.br/editora/livrosdigitais2015/mejiga.pdf</v>
      </c>
      <c r="I600" s="24" t="str">
        <f>IFERROR(__xludf.DUMMYFUNCTION("""COMPUTED_VALUE"""),"Ciências Humanas")</f>
        <v>Ciências Humanas</v>
      </c>
    </row>
    <row r="601">
      <c r="A601" s="24" t="str">
        <f>IFERROR(__xludf.DUMMYFUNCTION("""COMPUTED_VALUE"""),"Memória Culinária de Ouro Preto")</f>
        <v>Memória Culinária de Ouro Preto</v>
      </c>
      <c r="B601" s="24" t="str">
        <f>IFERROR(__xludf.DUMMYFUNCTION("""COMPUTED_VALUE"""),"Olívia Maria de Paula Alves Bezerra; Maria Tereza de Freitas; Simone de Fátima Viana")</f>
        <v>Olívia Maria de Paula Alves Bezerra; Maria Tereza de Freitas; Simone de Fátima Viana</v>
      </c>
      <c r="C601" s="24" t="str">
        <f>IFERROR(__xludf.DUMMYFUNCTION("""COMPUTED_VALUE"""),"Ouro Preto")</f>
        <v>Ouro Preto</v>
      </c>
      <c r="D601" s="24" t="str">
        <f>IFERROR(__xludf.DUMMYFUNCTION("""COMPUTED_VALUE"""),"UFOP")</f>
        <v>UFOP</v>
      </c>
      <c r="E601" s="25">
        <f>IFERROR(__xludf.DUMMYFUNCTION("""COMPUTED_VALUE"""),2015.0)</f>
        <v>2015</v>
      </c>
      <c r="F601" s="24" t="str">
        <f>IFERROR(__xludf.DUMMYFUNCTION("""COMPUTED_VALUE"""),"Culinária brasileira. Memória. Ouro Preto (MG). Folclore dos alimentos")</f>
        <v>Culinária brasileira. Memória. Ouro Preto (MG). Folclore dos alimentos</v>
      </c>
      <c r="G601" s="28" t="str">
        <f>IFERROR(__xludf.DUMMYFUNCTION("""COMPUTED_VALUE"""),"9788528803389")</f>
        <v>9788528803389</v>
      </c>
      <c r="H601" s="29" t="str">
        <f>IFERROR(__xludf.DUMMYFUNCTION("""COMPUTED_VALUE"""),"https://www.editora.ufop.br/index.php/editora/catalog/view/107/83/270-1")</f>
        <v>https://www.editora.ufop.br/index.php/editora/catalog/view/107/83/270-1</v>
      </c>
      <c r="I601" s="24" t="str">
        <f>IFERROR(__xludf.DUMMYFUNCTION("""COMPUTED_VALUE"""),"Ciências Humanas")</f>
        <v>Ciências Humanas</v>
      </c>
    </row>
    <row r="602">
      <c r="A602" s="24" t="str">
        <f>IFERROR(__xludf.DUMMYFUNCTION("""COMPUTED_VALUE"""),"Memória de um jardim: estudo do acervo do Museu Casa de Rui Barbosa")</f>
        <v>Memória de um jardim: estudo do acervo do Museu Casa de Rui Barbosa</v>
      </c>
      <c r="B602" s="24" t="str">
        <f>IFERROR(__xludf.DUMMYFUNCTION("""COMPUTED_VALUE"""),"Claudia Barbosa Reis")</f>
        <v>Claudia Barbosa Reis</v>
      </c>
      <c r="C602" s="24" t="str">
        <f>IFERROR(__xludf.DUMMYFUNCTION("""COMPUTED_VALUE"""),"Rio de Janeiro")</f>
        <v>Rio de Janeiro</v>
      </c>
      <c r="D602" s="24" t="str">
        <f>IFERROR(__xludf.DUMMYFUNCTION("""COMPUTED_VALUE"""),"Fundação Casa de Rui Barbosa")</f>
        <v>Fundação Casa de Rui Barbosa</v>
      </c>
      <c r="E602" s="25">
        <f>IFERROR(__xludf.DUMMYFUNCTION("""COMPUTED_VALUE"""),2011.0)</f>
        <v>2011</v>
      </c>
      <c r="F602" s="24" t="str">
        <f>IFERROR(__xludf.DUMMYFUNCTION("""COMPUTED_VALUE"""),"Museu casa Rui Barbosa. Jardim. Fundação casa de Rui Barbosa")</f>
        <v>Museu casa Rui Barbosa. Jardim. Fundação casa de Rui Barbosa</v>
      </c>
      <c r="G602" s="28" t="str">
        <f>IFERROR(__xludf.DUMMYFUNCTION("""COMPUTED_VALUE"""),"9788570043054")</f>
        <v>9788570043054</v>
      </c>
      <c r="H602" s="29" t="str">
        <f>IFERROR(__xludf.DUMMYFUNCTION("""COMPUTED_VALUE"""),"http://www.casaruibarbosa.gov.br/arquivos/file/Mem%C3%B3ria%20de%20um%20jardim%20OCR.pdf")</f>
        <v>http://www.casaruibarbosa.gov.br/arquivos/file/Mem%C3%B3ria%20de%20um%20jardim%20OCR.pdf</v>
      </c>
      <c r="I602" s="24" t="str">
        <f>IFERROR(__xludf.DUMMYFUNCTION("""COMPUTED_VALUE"""),"Ciências Humanas")</f>
        <v>Ciências Humanas</v>
      </c>
    </row>
    <row r="603">
      <c r="A603" s="24" t="str">
        <f>IFERROR(__xludf.DUMMYFUNCTION("""COMPUTED_VALUE"""),"Memória e identidade: reformas urbanas e arquitetura cemiterial na Região Cacaueira (1880-1950)")</f>
        <v>Memória e identidade: reformas urbanas e arquitetura cemiterial na Região Cacaueira (1880-1950)</v>
      </c>
      <c r="B603" s="24" t="str">
        <f>IFERROR(__xludf.DUMMYFUNCTION("""COMPUTED_VALUE"""),"André Luiz Rosa Ribeiro")</f>
        <v>André Luiz Rosa Ribeiro</v>
      </c>
      <c r="C603" s="24" t="str">
        <f>IFERROR(__xludf.DUMMYFUNCTION("""COMPUTED_VALUE"""),"Ilhéus, BA")</f>
        <v>Ilhéus, BA</v>
      </c>
      <c r="D603" s="24" t="str">
        <f>IFERROR(__xludf.DUMMYFUNCTION("""COMPUTED_VALUE"""),"Editus")</f>
        <v>Editus</v>
      </c>
      <c r="E603" s="25">
        <f>IFERROR(__xludf.DUMMYFUNCTION("""COMPUTED_VALUE"""),2005.0)</f>
        <v>2005</v>
      </c>
      <c r="F603" s="24" t="str">
        <f>IFERROR(__xludf.DUMMYFUNCTION("""COMPUTED_VALUE"""),"Ilhéus (BA) – História; Ilhéus (BA) - Aspectos Sociais; Cemitérios – Arquitetura – Ilhéus (BA); Monumentos funerais – Arquitetura")</f>
        <v>Ilhéus (BA) – História; Ilhéus (BA) - Aspectos Sociais; Cemitérios – Arquitetura – Ilhéus (BA); Monumentos funerais – Arquitetura</v>
      </c>
      <c r="G603" s="28" t="str">
        <f>IFERROR(__xludf.DUMMYFUNCTION("""COMPUTED_VALUE"""),"8574550981")</f>
        <v>8574550981</v>
      </c>
      <c r="H603" s="29" t="str">
        <f>IFERROR(__xludf.DUMMYFUNCTION("""COMPUTED_VALUE"""),"http://www.uesc.br/editora/livrosdigitais/memoria_e_identidade.pdf")</f>
        <v>http://www.uesc.br/editora/livrosdigitais/memoria_e_identidade.pdf</v>
      </c>
      <c r="I603" s="24" t="str">
        <f>IFERROR(__xludf.DUMMYFUNCTION("""COMPUTED_VALUE"""),"Ciências Humanas")</f>
        <v>Ciências Humanas</v>
      </c>
    </row>
    <row r="604">
      <c r="A604" s="24" t="str">
        <f>IFERROR(__xludf.DUMMYFUNCTION("""COMPUTED_VALUE"""),"Memória ou esquecimento da educação escolar?: um itinerário de pesquisa de intervenção")</f>
        <v>Memória ou esquecimento da educação escolar?: um itinerário de pesquisa de intervenção</v>
      </c>
      <c r="B604" s="24" t="str">
        <f>IFERROR(__xludf.DUMMYFUNCTION("""COMPUTED_VALUE"""),"Lincoln Christian Fernandes")</f>
        <v>Lincoln Christian Fernandes</v>
      </c>
      <c r="C604" s="24" t="str">
        <f>IFERROR(__xludf.DUMMYFUNCTION("""COMPUTED_VALUE"""),"Dourados, MS")</f>
        <v>Dourados, MS</v>
      </c>
      <c r="D604" s="24" t="str">
        <f>IFERROR(__xludf.DUMMYFUNCTION("""COMPUTED_VALUE"""),"Ed. da UFGD")</f>
        <v>Ed. da UFGD</v>
      </c>
      <c r="E604" s="25">
        <f>IFERROR(__xludf.DUMMYFUNCTION("""COMPUTED_VALUE"""),2013.0)</f>
        <v>2013</v>
      </c>
      <c r="F604" s="24" t="str">
        <f>IFERROR(__xludf.DUMMYFUNCTION("""COMPUTED_VALUE"""),"Memória escolar; Documentos orais; Centro de documentação")</f>
        <v>Memória escolar; Documentos orais; Centro de documentação</v>
      </c>
      <c r="G604" s="28" t="str">
        <f>IFERROR(__xludf.DUMMYFUNCTION("""COMPUTED_VALUE"""),"9788581471013")</f>
        <v>9788581471013</v>
      </c>
      <c r="H604" s="29" t="str">
        <f>IFERROR(__xludf.DUMMYFUNCTION("""COMPUTED_VALUE"""),"http://omp.ufgd.edu.br/omp/index.php/livrosabertos/catalog/view/241/122/400-1")</f>
        <v>http://omp.ufgd.edu.br/omp/index.php/livrosabertos/catalog/view/241/122/400-1</v>
      </c>
      <c r="I604" s="24" t="str">
        <f>IFERROR(__xludf.DUMMYFUNCTION("""COMPUTED_VALUE"""),"Ciências Humanas")</f>
        <v>Ciências Humanas</v>
      </c>
    </row>
    <row r="605">
      <c r="A605" s="24" t="str">
        <f>IFERROR(__xludf.DUMMYFUNCTION("""COMPUTED_VALUE"""),"Memórias da educação de jovens e adultos em práticas de educação popular em Belém nas décadas de 1970 e 1980 ")</f>
        <v>Memórias da educação de jovens e adultos em práticas de educação popular em Belém nas décadas de 1970 e 1980 </v>
      </c>
      <c r="B605" s="24" t="str">
        <f>IFERROR(__xludf.DUMMYFUNCTION("""COMPUTED_VALUE"""),"Organização de Ivanilde Apoluceno de Oliveira e; João Colares da Mota Neto. ")</f>
        <v>Organização de Ivanilde Apoluceno de Oliveira e; João Colares da Mota Neto. </v>
      </c>
      <c r="C605" s="24" t="str">
        <f>IFERROR(__xludf.DUMMYFUNCTION("""COMPUTED_VALUE"""),"Belém")</f>
        <v>Belém</v>
      </c>
      <c r="D605" s="24" t="str">
        <f>IFERROR(__xludf.DUMMYFUNCTION("""COMPUTED_VALUE"""),"UEPA")</f>
        <v>UEPA</v>
      </c>
      <c r="E605" s="25">
        <f>IFERROR(__xludf.DUMMYFUNCTION("""COMPUTED_VALUE"""),2019.0)</f>
        <v>2019</v>
      </c>
      <c r="F605" s="24" t="str">
        <f>IFERROR(__xludf.DUMMYFUNCTION("""COMPUTED_VALUE"""),"Educação de jovens e adultos; Educação - Memórias; Educação popular")</f>
        <v>Educação de jovens e adultos; Educação - Memórias; Educação popular</v>
      </c>
      <c r="G605" s="28" t="str">
        <f>IFERROR(__xludf.DUMMYFUNCTION("""COMPUTED_VALUE"""),"9788584580415")</f>
        <v>9788584580415</v>
      </c>
      <c r="H605" s="29" t="str">
        <f>IFERROR(__xludf.DUMMYFUNCTION("""COMPUTED_VALUE"""),"https://paginas.uepa.br/eduepa/wp-content/uploads/2019/10/memorias_eja.pdf")</f>
        <v>https://paginas.uepa.br/eduepa/wp-content/uploads/2019/10/memorias_eja.pdf</v>
      </c>
      <c r="I605" s="24" t="str">
        <f>IFERROR(__xludf.DUMMYFUNCTION("""COMPUTED_VALUE"""),"Ciências Humanas")</f>
        <v>Ciências Humanas</v>
      </c>
    </row>
    <row r="606">
      <c r="A606" s="24" t="str">
        <f>IFERROR(__xludf.DUMMYFUNCTION("""COMPUTED_VALUE"""),"Memórias e identidades: as estruturas carboníferas como patrimônio cultural de Santa Catarina")</f>
        <v>Memórias e identidades: as estruturas carboníferas como patrimônio cultural de Santa Catarina</v>
      </c>
      <c r="B606" s="24" t="str">
        <f>IFERROR(__xludf.DUMMYFUNCTION("""COMPUTED_VALUE"""),"Costa, Marli de Oliveira; Osório, Paulo Sérgio")</f>
        <v>Costa, Marli de Oliveira; Osório, Paulo Sérgio</v>
      </c>
      <c r="C606" s="24" t="str">
        <f>IFERROR(__xludf.DUMMYFUNCTION("""COMPUTED_VALUE"""),"Criciúma")</f>
        <v>Criciúma</v>
      </c>
      <c r="D606" s="24" t="str">
        <f>IFERROR(__xludf.DUMMYFUNCTION("""COMPUTED_VALUE"""),"Copiart ; UNESC")</f>
        <v>Copiart ; UNESC</v>
      </c>
      <c r="E606" s="25">
        <f>IFERROR(__xludf.DUMMYFUNCTION("""COMPUTED_VALUE"""),2017.0)</f>
        <v>2017</v>
      </c>
      <c r="F606" s="24" t="str">
        <f>IFERROR(__xludf.DUMMYFUNCTION("""COMPUTED_VALUE"""),"Carvão – Santa Catarina – História; Indústria carbonífera – Santa Catarina, Região Sul – Aspectos sociais; Carvão – Minas e mineração – Aspectos econômicos; Mineiros (Profissão) – Condições sociais; Identidade Social; Patrimônio cultural")</f>
        <v>Carvão – Santa Catarina – História; Indústria carbonífera – Santa Catarina, Região Sul – Aspectos sociais; Carvão – Minas e mineração – Aspectos econômicos; Mineiros (Profissão) – Condições sociais; Identidade Social; Patrimônio cultural</v>
      </c>
      <c r="G606" s="28" t="str">
        <f>IFERROR(__xludf.DUMMYFUNCTION("""COMPUTED_VALUE"""),"9788583881056")</f>
        <v>9788583881056</v>
      </c>
      <c r="H606" s="29" t="str">
        <f>IFERROR(__xludf.DUMMYFUNCTION("""COMPUTED_VALUE"""),"http://repositorio.unesc.net/handle/1/5500")</f>
        <v>http://repositorio.unesc.net/handle/1/5500</v>
      </c>
      <c r="I606" s="24" t="str">
        <f>IFERROR(__xludf.DUMMYFUNCTION("""COMPUTED_VALUE"""),"Ciências Humanas")</f>
        <v>Ciências Humanas</v>
      </c>
    </row>
    <row r="607">
      <c r="A607" s="24" t="str">
        <f>IFERROR(__xludf.DUMMYFUNCTION("""COMPUTED_VALUE"""),"Mercosul e globalização: dinâmicas e desaios da integração regiona")</f>
        <v>Mercosul e globalização: dinâmicas e desaios da integração regiona</v>
      </c>
      <c r="B607" s="24" t="str">
        <f>IFERROR(__xludf.DUMMYFUNCTION("""COMPUTED_VALUE"""),"Marcos Antonio da Silva, Guillermo Alfredo Johnson (org.)")</f>
        <v>Marcos Antonio da Silva, Guillermo Alfredo Johnson (org.)</v>
      </c>
      <c r="C607" s="24" t="str">
        <f>IFERROR(__xludf.DUMMYFUNCTION("""COMPUTED_VALUE"""),"Dourados, MS")</f>
        <v>Dourados, MS</v>
      </c>
      <c r="D607" s="24" t="str">
        <f>IFERROR(__xludf.DUMMYFUNCTION("""COMPUTED_VALUE"""),"Ed. da UFGD")</f>
        <v>Ed. da UFGD</v>
      </c>
      <c r="E607" s="25">
        <f>IFERROR(__xludf.DUMMYFUNCTION("""COMPUTED_VALUE"""),2014.0)</f>
        <v>2014</v>
      </c>
      <c r="F607" s="24" t="str">
        <f>IFERROR(__xludf.DUMMYFUNCTION("""COMPUTED_VALUE"""),"Mercosul; Globalização; Integração regional")</f>
        <v>Mercosul; Globalização; Integração regional</v>
      </c>
      <c r="G607" s="28" t="str">
        <f>IFERROR(__xludf.DUMMYFUNCTION("""COMPUTED_VALUE"""),"9788581470788")</f>
        <v>9788581470788</v>
      </c>
      <c r="H607" s="29" t="str">
        <f>IFERROR(__xludf.DUMMYFUNCTION("""COMPUTED_VALUE"""),"http://omp.ufgd.edu.br/omp/index.php/livrosabertos/catalog/view/143/200/481-1")</f>
        <v>http://omp.ufgd.edu.br/omp/index.php/livrosabertos/catalog/view/143/200/481-1</v>
      </c>
      <c r="I607" s="24" t="str">
        <f>IFERROR(__xludf.DUMMYFUNCTION("""COMPUTED_VALUE"""),"Ciências Humanas")</f>
        <v>Ciências Humanas</v>
      </c>
    </row>
    <row r="608">
      <c r="A608" s="24" t="str">
        <f>IFERROR(__xludf.DUMMYFUNCTION("""COMPUTED_VALUE"""),"Metafísica e conhecimento: ensaios sobre Descartes e Espinosa")</f>
        <v>Metafísica e conhecimento: ensaios sobre Descartes e Espinosa</v>
      </c>
      <c r="B608" s="24" t="str">
        <f>IFERROR(__xludf.DUMMYFUNCTION("""COMPUTED_VALUE"""),"Marcos André Gleizer")</f>
        <v>Marcos André Gleizer</v>
      </c>
      <c r="C608" s="24" t="str">
        <f>IFERROR(__xludf.DUMMYFUNCTION("""COMPUTED_VALUE"""),"Rio de Janeiro")</f>
        <v>Rio de Janeiro</v>
      </c>
      <c r="D608" s="24" t="str">
        <f>IFERROR(__xludf.DUMMYFUNCTION("""COMPUTED_VALUE"""),"EdUERJ")</f>
        <v>EdUERJ</v>
      </c>
      <c r="E608" s="25">
        <f>IFERROR(__xludf.DUMMYFUNCTION("""COMPUTED_VALUE"""),2014.0)</f>
        <v>2014</v>
      </c>
      <c r="F608" s="24" t="str">
        <f>IFERROR(__xludf.DUMMYFUNCTION("""COMPUTED_VALUE"""),"Filosofia; René Descartes; Benedictus de Spinoza")</f>
        <v>Filosofia; René Descartes; Benedictus de Spinoza</v>
      </c>
      <c r="G608" s="28" t="str">
        <f>IFERROR(__xludf.DUMMYFUNCTION("""COMPUTED_VALUE"""),"9788575113233")</f>
        <v>9788575113233</v>
      </c>
      <c r="H608" s="29" t="str">
        <f>IFERROR(__xludf.DUMMYFUNCTION("""COMPUTED_VALUE"""),"https://www.eduerj.com/eng/?product=metafisica-e-conhecimento-ensaios-sobre-descartes-e-espinosa-ebook")</f>
        <v>https://www.eduerj.com/eng/?product=metafisica-e-conhecimento-ensaios-sobre-descartes-e-espinosa-ebook</v>
      </c>
      <c r="I608" s="24" t="str">
        <f>IFERROR(__xludf.DUMMYFUNCTION("""COMPUTED_VALUE"""),"Ciências Humanas")</f>
        <v>Ciências Humanas</v>
      </c>
    </row>
    <row r="609">
      <c r="A609" s="24" t="str">
        <f>IFERROR(__xludf.DUMMYFUNCTION("""COMPUTED_VALUE"""),"Metodologia e relações internacionais: debates contemporâneos. vol.2")</f>
        <v>Metodologia e relações internacionais: debates contemporâneos. vol.2</v>
      </c>
      <c r="B609" s="24" t="str">
        <f>IFERROR(__xludf.DUMMYFUNCTION("""COMPUTED_VALUE"""),"Isabel Rocha de Siqueira; Bruno Magalhães; Mariana Caldas; Francisco Matos; (Orgs.)")</f>
        <v>Isabel Rocha de Siqueira; Bruno Magalhães; Mariana Caldas; Francisco Matos; (Orgs.)</v>
      </c>
      <c r="C609" s="24" t="str">
        <f>IFERROR(__xludf.DUMMYFUNCTION("""COMPUTED_VALUE"""),"Rio de Janeiro")</f>
        <v>Rio de Janeiro</v>
      </c>
      <c r="D609" s="24" t="str">
        <f>IFERROR(__xludf.DUMMYFUNCTION("""COMPUTED_VALUE"""),"Editora PUC Rio")</f>
        <v>Editora PUC Rio</v>
      </c>
      <c r="E609" s="25">
        <f>IFERROR(__xludf.DUMMYFUNCTION("""COMPUTED_VALUE"""),2019.0)</f>
        <v>2019</v>
      </c>
      <c r="F609" s="24" t="str">
        <f>IFERROR(__xludf.DUMMYFUNCTION("""COMPUTED_VALUE"""),"Relações internacionais – Metodologia")</f>
        <v>Relações internacionais – Metodologia</v>
      </c>
      <c r="G609" s="28" t="str">
        <f>IFERROR(__xludf.DUMMYFUNCTION("""COMPUTED_VALUE"""),"9788580062861")</f>
        <v>9788580062861</v>
      </c>
      <c r="H609" s="29" t="str">
        <f>IFERROR(__xludf.DUMMYFUNCTION("""COMPUTED_VALUE"""),"http://www.editora.puc-rio.br/media/Metodologias_e_RI_volume-2%20(1).pdf")</f>
        <v>http://www.editora.puc-rio.br/media/Metodologias_e_RI_volume-2%20(1).pdf</v>
      </c>
      <c r="I609" s="24" t="str">
        <f>IFERROR(__xludf.DUMMYFUNCTION("""COMPUTED_VALUE"""),"Ciências Humanas")</f>
        <v>Ciências Humanas</v>
      </c>
    </row>
    <row r="610">
      <c r="A610" s="24" t="str">
        <f>IFERROR(__xludf.DUMMYFUNCTION("""COMPUTED_VALUE"""),"Métodos de pesquisa")</f>
        <v>Métodos de pesquisa</v>
      </c>
      <c r="B610" s="24" t="str">
        <f>IFERROR(__xludf.DUMMYFUNCTION("""COMPUTED_VALUE"""),"Gerhardt, Tatiana Engel; Silveira, Denise Tolfo; Neis, Ignacio Antonio; Abreu, Sabrina Pereira de; Rodrigues, Rosany Schwarz ")</f>
        <v>Gerhardt, Tatiana Engel; Silveira, Denise Tolfo; Neis, Ignacio Antonio; Abreu, Sabrina Pereira de; Rodrigues, Rosany Schwarz </v>
      </c>
      <c r="C610" s="24" t="str">
        <f>IFERROR(__xludf.DUMMYFUNCTION("""COMPUTED_VALUE"""),"Porto Alegre")</f>
        <v>Porto Alegre</v>
      </c>
      <c r="D610" s="24" t="str">
        <f>IFERROR(__xludf.DUMMYFUNCTION("""COMPUTED_VALUE"""),"UFRGS")</f>
        <v>UFRGS</v>
      </c>
      <c r="E610" s="25">
        <f>IFERROR(__xludf.DUMMYFUNCTION("""COMPUTED_VALUE"""),2009.0)</f>
        <v>2009</v>
      </c>
      <c r="F610" s="24" t="str">
        <f>IFERROR(__xludf.DUMMYFUNCTION("""COMPUTED_VALUE"""),"Ensino a distância; Metodologia : Pesquisa cientifica; Metodologia da pesquisa; Projeto de pesquisa")</f>
        <v>Ensino a distância; Metodologia : Pesquisa cientifica; Metodologia da pesquisa; Projeto de pesquisa</v>
      </c>
      <c r="G610" s="28" t="str">
        <f>IFERROR(__xludf.DUMMYFUNCTION("""COMPUTED_VALUE"""),"9788538600718")</f>
        <v>9788538600718</v>
      </c>
      <c r="H610" s="29" t="str">
        <f>IFERROR(__xludf.DUMMYFUNCTION("""COMPUTED_VALUE"""),"http://hdl.handle.net/10183/52806")</f>
        <v>http://hdl.handle.net/10183/52806</v>
      </c>
      <c r="I610" s="24" t="str">
        <f>IFERROR(__xludf.DUMMYFUNCTION("""COMPUTED_VALUE"""),"Ciências Humanas")</f>
        <v>Ciências Humanas</v>
      </c>
    </row>
    <row r="611">
      <c r="A611" s="24" t="str">
        <f>IFERROR(__xludf.DUMMYFUNCTION("""COMPUTED_VALUE"""),"Métodos e técnicas da pesquisa histórica")</f>
        <v>Métodos e técnicas da pesquisa histórica</v>
      </c>
      <c r="B611" s="24" t="str">
        <f>IFERROR(__xludf.DUMMYFUNCTION("""COMPUTED_VALUE"""),"(org.) Jérri Roberto Marin, Diogo da Silva Roiz")</f>
        <v>(org.) Jérri Roberto Marin, Diogo da Silva Roiz</v>
      </c>
      <c r="C611" s="24" t="str">
        <f>IFERROR(__xludf.DUMMYFUNCTION("""COMPUTED_VALUE"""),"Dourados, MS")</f>
        <v>Dourados, MS</v>
      </c>
      <c r="D611" s="24" t="str">
        <f>IFERROR(__xludf.DUMMYFUNCTION("""COMPUTED_VALUE"""),"Ed. da UFGD")</f>
        <v>Ed. da UFGD</v>
      </c>
      <c r="E611" s="25">
        <f>IFERROR(__xludf.DUMMYFUNCTION("""COMPUTED_VALUE"""),2015.0)</f>
        <v>2015</v>
      </c>
      <c r="F611" s="24" t="str">
        <f>IFERROR(__xludf.DUMMYFUNCTION("""COMPUTED_VALUE"""),"História e historiografia; Metodologias da história; Teorias da história")</f>
        <v>História e historiografia; Metodologias da história; Teorias da história</v>
      </c>
      <c r="G611" s="28" t="str">
        <f>IFERROR(__xludf.DUMMYFUNCTION("""COMPUTED_VALUE"""),"9788581471075")</f>
        <v>9788581471075</v>
      </c>
      <c r="H611" s="29" t="str">
        <f>IFERROR(__xludf.DUMMYFUNCTION("""COMPUTED_VALUE"""),"http://omp.ufgd.edu.br/omp/index.php/livrosabertos/catalog/view/226/115/393-1")</f>
        <v>http://omp.ufgd.edu.br/omp/index.php/livrosabertos/catalog/view/226/115/393-1</v>
      </c>
      <c r="I611" s="24" t="str">
        <f>IFERROR(__xludf.DUMMYFUNCTION("""COMPUTED_VALUE"""),"Ciências Humanas")</f>
        <v>Ciências Humanas</v>
      </c>
    </row>
    <row r="612">
      <c r="A612" s="24" t="str">
        <f>IFERROR(__xludf.DUMMYFUNCTION("""COMPUTED_VALUE"""),"Michel de Certeau e as pesquisas nos/dos/com os cotidianos em educação ")</f>
        <v>Michel de Certeau e as pesquisas nos/dos/com os cotidianos em educação </v>
      </c>
      <c r="B612" s="24" t="str">
        <f>IFERROR(__xludf.DUMMYFUNCTION("""COMPUTED_VALUE"""),"Carlos Eduardo Ferraço, Maria da Conceição Silva Soares, Nilda Alves. ")</f>
        <v>Carlos Eduardo Ferraço, Maria da Conceição Silva Soares, Nilda Alves. </v>
      </c>
      <c r="C612" s="24" t="str">
        <f>IFERROR(__xludf.DUMMYFUNCTION("""COMPUTED_VALUE"""),"Rio de Janeiro, RJ")</f>
        <v>Rio de Janeiro, RJ</v>
      </c>
      <c r="D612" s="24" t="str">
        <f>IFERROR(__xludf.DUMMYFUNCTION("""COMPUTED_VALUE"""),"EdUERJ")</f>
        <v>EdUERJ</v>
      </c>
      <c r="E612" s="25">
        <f>IFERROR(__xludf.DUMMYFUNCTION("""COMPUTED_VALUE"""),2018.0)</f>
        <v>2018</v>
      </c>
      <c r="F612" s="24" t="str">
        <f>IFERROR(__xludf.DUMMYFUNCTION("""COMPUTED_VALUE"""),"Certeau, Michel de, 1925-1986; Educação")</f>
        <v>Certeau, Michel de, 1925-1986; Educação</v>
      </c>
      <c r="G612" s="28" t="str">
        <f>IFERROR(__xludf.DUMMYFUNCTION("""COMPUTED_VALUE"""),"9788575114742")</f>
        <v>9788575114742</v>
      </c>
      <c r="H612" s="29" t="str">
        <f>IFERROR(__xludf.DUMMYFUNCTION("""COMPUTED_VALUE"""),"http://books.scielo.org/id/ps2mx/pdf/ferraco-9788575115176.pdf")</f>
        <v>http://books.scielo.org/id/ps2mx/pdf/ferraco-9788575115176.pdf</v>
      </c>
      <c r="I612" s="24" t="str">
        <f>IFERROR(__xludf.DUMMYFUNCTION("""COMPUTED_VALUE"""),"Ciências Humanas")</f>
        <v>Ciências Humanas</v>
      </c>
    </row>
    <row r="613">
      <c r="A613" s="24" t="str">
        <f>IFERROR(__xludf.DUMMYFUNCTION("""COMPUTED_VALUE"""),"Michel Foucault : Crítico-esteta-cínico mitigado")</f>
        <v>Michel Foucault : Crítico-esteta-cínico mitigado</v>
      </c>
      <c r="B613" s="24" t="str">
        <f>IFERROR(__xludf.DUMMYFUNCTION("""COMPUTED_VALUE"""),"Jorge Alberto Rocha")</f>
        <v>Jorge Alberto Rocha</v>
      </c>
      <c r="C613" s="24" t="str">
        <f>IFERROR(__xludf.DUMMYFUNCTION("""COMPUTED_VALUE"""),"Campina Grande")</f>
        <v>Campina Grande</v>
      </c>
      <c r="D613" s="24" t="str">
        <f>IFERROR(__xludf.DUMMYFUNCTION("""COMPUTED_VALUE"""),"EDUEPB")</f>
        <v>EDUEPB</v>
      </c>
      <c r="E613" s="25">
        <f>IFERROR(__xludf.DUMMYFUNCTION("""COMPUTED_VALUE"""),2014.0)</f>
        <v>2014</v>
      </c>
      <c r="F613" s="24" t="str">
        <f>IFERROR(__xludf.DUMMYFUNCTION("""COMPUTED_VALUE"""),"Filosofia. Michel Foucault. Kant. Críticas")</f>
        <v>Filosofia. Michel Foucault. Kant. Críticas</v>
      </c>
      <c r="G613" s="28" t="str">
        <f>IFERROR(__xludf.DUMMYFUNCTION("""COMPUTED_VALUE"""),"9788578791841")</f>
        <v>9788578791841</v>
      </c>
      <c r="H613" s="29" t="str">
        <f>IFERROR(__xludf.DUMMYFUNCTION("""COMPUTED_VALUE"""),"http://eduepb.uepb.edu.br/download/michel-foucault-critico-esteta-cinico-mitigado/?wpdmdl=196&amp;amp;masterkey=5af99c50c88c2")</f>
        <v>http://eduepb.uepb.edu.br/download/michel-foucault-critico-esteta-cinico-mitigado/?wpdmdl=196&amp;amp;masterkey=5af99c50c88c2</v>
      </c>
      <c r="I613" s="24" t="str">
        <f>IFERROR(__xludf.DUMMYFUNCTION("""COMPUTED_VALUE"""),"Ciências Humanas")</f>
        <v>Ciências Humanas</v>
      </c>
    </row>
    <row r="614">
      <c r="A614" s="24" t="str">
        <f>IFERROR(__xludf.DUMMYFUNCTION("""COMPUTED_VALUE"""),"Microblog: comunicação e relacionamento em redes sociais")</f>
        <v>Microblog: comunicação e relacionamento em redes sociais</v>
      </c>
      <c r="B614" s="24" t="str">
        <f>IFERROR(__xludf.DUMMYFUNCTION("""COMPUTED_VALUE"""),"Sérgio Rodrigo da Silva Ferreira")</f>
        <v>Sérgio Rodrigo da Silva Ferreira</v>
      </c>
      <c r="C614" s="24" t="str">
        <f>IFERROR(__xludf.DUMMYFUNCTION("""COMPUTED_VALUE"""),"Vitória")</f>
        <v>Vitória</v>
      </c>
      <c r="D614" s="24" t="str">
        <f>IFERROR(__xludf.DUMMYFUNCTION("""COMPUTED_VALUE"""),"EDUFES")</f>
        <v>EDUFES</v>
      </c>
      <c r="E614" s="25">
        <f>IFERROR(__xludf.DUMMYFUNCTION("""COMPUTED_VALUE"""),2014.0)</f>
        <v>2014</v>
      </c>
      <c r="F614" s="24" t="str">
        <f>IFERROR(__xludf.DUMMYFUNCTION("""COMPUTED_VALUE"""),"Redes sociais; Twitter; Relações humanas; Blogs; Internet")</f>
        <v>Redes sociais; Twitter; Relações humanas; Blogs; Internet</v>
      </c>
      <c r="G614" s="28" t="str">
        <f>IFERROR(__xludf.DUMMYFUNCTION("""COMPUTED_VALUE"""),"9788577722242")</f>
        <v>9788577722242</v>
      </c>
      <c r="H614" s="29" t="str">
        <f>IFERROR(__xludf.DUMMYFUNCTION("""COMPUTED_VALUE"""),"http://repositorio.ufes.br/bitstream/10/853/6/livro%20edufes%20Microblog%20comunica%C3%A7%C3%A3o%20e%20relacionamento%20em%20redes%20sociais%20online.pdf")</f>
        <v>http://repositorio.ufes.br/bitstream/10/853/6/livro%20edufes%20Microblog%20comunica%C3%A7%C3%A3o%20e%20relacionamento%20em%20redes%20sociais%20online.pdf</v>
      </c>
      <c r="I614" s="24" t="str">
        <f>IFERROR(__xludf.DUMMYFUNCTION("""COMPUTED_VALUE"""),"Ciências Humanas")</f>
        <v>Ciências Humanas</v>
      </c>
    </row>
    <row r="615">
      <c r="A615" s="24" t="str">
        <f>IFERROR(__xludf.DUMMYFUNCTION("""COMPUTED_VALUE"""),"Mídia e cidadania: complexidade, impasses e desafios*")</f>
        <v>Mídia e cidadania: complexidade, impasses e desafios*</v>
      </c>
      <c r="B615" s="24" t="str">
        <f>IFERROR(__xludf.DUMMYFUNCTION("""COMPUTED_VALUE"""),"Ilka Goldschmidt; Mariângela Torrescasana")</f>
        <v>Ilka Goldschmidt; Mariângela Torrescasana</v>
      </c>
      <c r="C615" s="24" t="str">
        <f>IFERROR(__xludf.DUMMYFUNCTION("""COMPUTED_VALUE"""),"Chapecó")</f>
        <v>Chapecó</v>
      </c>
      <c r="D615" s="24" t="str">
        <f>IFERROR(__xludf.DUMMYFUNCTION("""COMPUTED_VALUE"""),"Argos")</f>
        <v>Argos</v>
      </c>
      <c r="E615" s="25">
        <f>IFERROR(__xludf.DUMMYFUNCTION("""COMPUTED_VALUE"""),2018.0)</f>
        <v>2018</v>
      </c>
      <c r="F615" s="24" t="str">
        <f>IFERROR(__xludf.DUMMYFUNCTION("""COMPUTED_VALUE"""),"Ensino Superior - Extensão; Ensino Superior - Chapecó; Ensino Superior - Pesquisa; Comunicação Social")</f>
        <v>Ensino Superior - Extensão; Ensino Superior - Chapecó; Ensino Superior - Pesquisa; Comunicação Social</v>
      </c>
      <c r="G615" s="28" t="str">
        <f>IFERROR(__xludf.DUMMYFUNCTION("""COMPUTED_VALUE"""),"9788578972981")</f>
        <v>9788578972981</v>
      </c>
      <c r="H615" s="29" t="str">
        <f>IFERROR(__xludf.DUMMYFUNCTION("""COMPUTED_VALUE"""),"https://www.editoraargos.com.br/farol/editoraargos/ebook/midia-e-cidadania-complexidade-impasses-e-desafios/729094/")</f>
        <v>https://www.editoraargos.com.br/farol/editoraargos/ebook/midia-e-cidadania-complexidade-impasses-e-desafios/729094/</v>
      </c>
      <c r="I615" s="24" t="str">
        <f>IFERROR(__xludf.DUMMYFUNCTION("""COMPUTED_VALUE"""),"Ciências Humanas")</f>
        <v>Ciências Humanas</v>
      </c>
    </row>
    <row r="616">
      <c r="A616" s="24" t="str">
        <f>IFERROR(__xludf.DUMMYFUNCTION("""COMPUTED_VALUE"""),"MIGRACIÓN, INTERCULTURALIDAD Y EDUCACIÓN: IMPACTOS Y DESAFÍOS*")</f>
        <v>MIGRACIÓN, INTERCULTURALIDAD Y EDUCACIÓN: IMPACTOS Y DESAFÍOS*</v>
      </c>
      <c r="B616" s="24" t="str">
        <f>IFERROR(__xludf.DUMMYFUNCTION("""COMPUTED_VALUE"""),"José M. H. Días; Adecir Pozzer; Elcio Cecchetti")</f>
        <v>José M. H. Días; Adecir Pozzer; Elcio Cecchetti</v>
      </c>
      <c r="C616" s="24" t="str">
        <f>IFERROR(__xludf.DUMMYFUNCTION("""COMPUTED_VALUE"""),"Chapecó")</f>
        <v>Chapecó</v>
      </c>
      <c r="D616" s="24" t="str">
        <f>IFERROR(__xludf.DUMMYFUNCTION("""COMPUTED_VALUE"""),"Argos")</f>
        <v>Argos</v>
      </c>
      <c r="E616" s="25">
        <f>IFERROR(__xludf.DUMMYFUNCTION("""COMPUTED_VALUE"""),2019.0)</f>
        <v>2019</v>
      </c>
      <c r="F616" s="24" t="str">
        <f>IFERROR(__xludf.DUMMYFUNCTION("""COMPUTED_VALUE"""),"Mobilidade Humana; Fluxo migratório; Imigrantes; Refugiados; Ensino")</f>
        <v>Mobilidade Humana; Fluxo migratório; Imigrantes; Refugiados; Ensino</v>
      </c>
      <c r="G616" s="28" t="str">
        <f>IFERROR(__xludf.DUMMYFUNCTION("""COMPUTED_VALUE"""),"9788413111964")</f>
        <v>9788413111964</v>
      </c>
      <c r="H616" s="29" t="str">
        <f>IFERROR(__xludf.DUMMYFUNCTION("""COMPUTED_VALUE"""),"https://www.editoraargos.com.br/farol/editoraargos/ebook/migracion-interculturalidad-y-educacion-impactos-y-desafios/1302827/")</f>
        <v>https://www.editoraargos.com.br/farol/editoraargos/ebook/migracion-interculturalidad-y-educacion-impactos-y-desafios/1302827/</v>
      </c>
      <c r="I616" s="24" t="str">
        <f>IFERROR(__xludf.DUMMYFUNCTION("""COMPUTED_VALUE"""),"Ciências Humanas")</f>
        <v>Ciências Humanas</v>
      </c>
    </row>
    <row r="617">
      <c r="A617" s="24" t="str">
        <f>IFERROR(__xludf.DUMMYFUNCTION("""COMPUTED_VALUE"""),"Migrantes sulistas: caminhadas e aprendizados na região acreana")</f>
        <v>Migrantes sulistas: caminhadas e aprendizados na região acreana</v>
      </c>
      <c r="B617" s="24" t="str">
        <f>IFERROR(__xludf.DUMMYFUNCTION("""COMPUTED_VALUE"""),"Tânia Mara Rezende Machado")</f>
        <v>Tânia Mara Rezende Machado</v>
      </c>
      <c r="C617" s="24" t="str">
        <f>IFERROR(__xludf.DUMMYFUNCTION("""COMPUTED_VALUE"""),"Rio Branco")</f>
        <v>Rio Branco</v>
      </c>
      <c r="D617" s="24" t="str">
        <f>IFERROR(__xludf.DUMMYFUNCTION("""COMPUTED_VALUE"""),"Edufac")</f>
        <v>Edufac</v>
      </c>
      <c r="E617" s="25">
        <f>IFERROR(__xludf.DUMMYFUNCTION("""COMPUTED_VALUE"""),2016.0)</f>
        <v>2016</v>
      </c>
      <c r="F617" s="24" t="str">
        <f>IFERROR(__xludf.DUMMYFUNCTION("""COMPUTED_VALUE"""),"Migrantes - sulistas; Migrantes - história; Acre - história")</f>
        <v>Migrantes - sulistas; Migrantes - história; Acre - história</v>
      </c>
      <c r="G617" s="28" t="str">
        <f>IFERROR(__xludf.DUMMYFUNCTION("""COMPUTED_VALUE"""),"9788582361061")</f>
        <v>9788582361061</v>
      </c>
      <c r="H617" s="29" t="str">
        <f>IFERROR(__xludf.DUMMYFUNCTION("""COMPUTED_VALUE"""),"http://www2.ufac.br/editora/livros/migrantes-sulistas.pdf")</f>
        <v>http://www2.ufac.br/editora/livros/migrantes-sulistas.pdf</v>
      </c>
      <c r="I617" s="24" t="str">
        <f>IFERROR(__xludf.DUMMYFUNCTION("""COMPUTED_VALUE"""),"Ciências Humanas")</f>
        <v>Ciências Humanas</v>
      </c>
    </row>
    <row r="618">
      <c r="A618" s="24" t="str">
        <f>IFERROR(__xludf.DUMMYFUNCTION("""COMPUTED_VALUE"""),"Migrar é um direito humano: guia de acolhimento para migrantes")</f>
        <v>Migrar é um direito humano: guia de acolhimento para migrantes</v>
      </c>
      <c r="B618" s="24" t="str">
        <f>IFERROR(__xludf.DUMMYFUNCTION("""COMPUTED_VALUE"""),"Zanelatto, João Henrique; Cardoso, Michele Gonçalves")</f>
        <v>Zanelatto, João Henrique; Cardoso, Michele Gonçalves</v>
      </c>
      <c r="C618" s="24" t="str">
        <f>IFERROR(__xludf.DUMMYFUNCTION("""COMPUTED_VALUE"""),"Criciúma")</f>
        <v>Criciúma</v>
      </c>
      <c r="D618" s="24" t="str">
        <f>IFERROR(__xludf.DUMMYFUNCTION("""COMPUTED_VALUE"""),"UNESC")</f>
        <v>UNESC</v>
      </c>
      <c r="E618" s="25">
        <f>IFERROR(__xludf.DUMMYFUNCTION("""COMPUTED_VALUE"""),2019.0)</f>
        <v>2019</v>
      </c>
      <c r="F618" s="24" t="str">
        <f>IFERROR(__xludf.DUMMYFUNCTION("""COMPUTED_VALUE"""),"Migrantes; Refugiados; Estrangeiros; Acolhimento")</f>
        <v>Migrantes; Refugiados; Estrangeiros; Acolhimento</v>
      </c>
      <c r="G618" s="28" t="str">
        <f>IFERROR(__xludf.DUMMYFUNCTION("""COMPUTED_VALUE"""),"9788584101221")</f>
        <v>9788584101221</v>
      </c>
      <c r="H618" s="29" t="str">
        <f>IFERROR(__xludf.DUMMYFUNCTION("""COMPUTED_VALUE"""),"http://repositorio.unesc.net/handle/1/7468")</f>
        <v>http://repositorio.unesc.net/handle/1/7468</v>
      </c>
      <c r="I618" s="24" t="str">
        <f>IFERROR(__xludf.DUMMYFUNCTION("""COMPUTED_VALUE"""),"Ciências Humanas")</f>
        <v>Ciências Humanas</v>
      </c>
    </row>
    <row r="619">
      <c r="A619" s="24" t="str">
        <f>IFERROR(__xludf.DUMMYFUNCTION("""COMPUTED_VALUE"""),"Militarismo e política no Brasil: Um breve resumo ")</f>
        <v>Militarismo e política no Brasil: Um breve resumo </v>
      </c>
      <c r="B619" s="24" t="str">
        <f>IFERROR(__xludf.DUMMYFUNCTION("""COMPUTED_VALUE"""),"Antonio Sabino da Silva Neto; ")</f>
        <v>Antonio Sabino da Silva Neto; </v>
      </c>
      <c r="C619" s="24" t="str">
        <f>IFERROR(__xludf.DUMMYFUNCTION("""COMPUTED_VALUE"""),"Macapá")</f>
        <v>Macapá</v>
      </c>
      <c r="D619" s="24" t="str">
        <f>IFERROR(__xludf.DUMMYFUNCTION("""COMPUTED_VALUE"""),"UNIFAP")</f>
        <v>UNIFAP</v>
      </c>
      <c r="E619" s="25">
        <f>IFERROR(__xludf.DUMMYFUNCTION("""COMPUTED_VALUE"""),2019.0)</f>
        <v>2019</v>
      </c>
      <c r="F619" s="24" t="str">
        <f>IFERROR(__xludf.DUMMYFUNCTION("""COMPUTED_VALUE"""),"Militarismo; Política; Período Militar")</f>
        <v>Militarismo; Política; Período Militar</v>
      </c>
      <c r="G619" s="28" t="str">
        <f>IFERROR(__xludf.DUMMYFUNCTION("""COMPUTED_VALUE"""),"9788554760663")</f>
        <v>9788554760663</v>
      </c>
      <c r="H619" s="29" t="str">
        <f>IFERROR(__xludf.DUMMYFUNCTION("""COMPUTED_VALUE"""),"https://www2.unifap.br/editora/files/2019/07/militarismo-e-politica-no-brasil.pdf")</f>
        <v>https://www2.unifap.br/editora/files/2019/07/militarismo-e-politica-no-brasil.pdf</v>
      </c>
      <c r="I619" s="24" t="str">
        <f>IFERROR(__xludf.DUMMYFUNCTION("""COMPUTED_VALUE"""),"Ciências Humanas")</f>
        <v>Ciências Humanas</v>
      </c>
    </row>
    <row r="620">
      <c r="A620" s="24" t="str">
        <f>IFERROR(__xludf.DUMMYFUNCTION("""COMPUTED_VALUE"""),"Modernidade e a idéia de História")</f>
        <v>Modernidade e a idéia de História</v>
      </c>
      <c r="B620" s="24" t="str">
        <f>IFERROR(__xludf.DUMMYFUNCTION("""COMPUTED_VALUE"""),"Organização de Marisa Donatelli, Edmilson Menezes. ")</f>
        <v>Organização de Marisa Donatelli, Edmilson Menezes. </v>
      </c>
      <c r="C620" s="24" t="str">
        <f>IFERROR(__xludf.DUMMYFUNCTION("""COMPUTED_VALUE"""),"Ilhéus, BA")</f>
        <v>Ilhéus, BA</v>
      </c>
      <c r="D620" s="24" t="str">
        <f>IFERROR(__xludf.DUMMYFUNCTION("""COMPUTED_VALUE"""),"Editus")</f>
        <v>Editus</v>
      </c>
      <c r="E620" s="25">
        <f>IFERROR(__xludf.DUMMYFUNCTION("""COMPUTED_VALUE"""),2003.0)</f>
        <v>2003</v>
      </c>
      <c r="F620" s="24" t="str">
        <f>IFERROR(__xludf.DUMMYFUNCTION("""COMPUTED_VALUE"""),"Filosofia de história; Modernidade")</f>
        <v>Filosofia de história; Modernidade</v>
      </c>
      <c r="G620" s="28" t="str">
        <f>IFERROR(__xludf.DUMMYFUNCTION("""COMPUTED_VALUE"""),"8574550566")</f>
        <v>8574550566</v>
      </c>
      <c r="H620" s="29" t="str">
        <f>IFERROR(__xludf.DUMMYFUNCTION("""COMPUTED_VALUE"""),"http://www.uesc.br/editora/livrosdigitais2015/modernidade_e_a_ideia.pdf")</f>
        <v>http://www.uesc.br/editora/livrosdigitais2015/modernidade_e_a_ideia.pdf</v>
      </c>
      <c r="I620" s="24" t="str">
        <f>IFERROR(__xludf.DUMMYFUNCTION("""COMPUTED_VALUE"""),"Ciências Humanas")</f>
        <v>Ciências Humanas</v>
      </c>
    </row>
    <row r="621">
      <c r="A621" s="24" t="str">
        <f>IFERROR(__xludf.DUMMYFUNCTION("""COMPUTED_VALUE"""),"Movimentos cruzados, histórias específicas: estudo comparativo das práticas sindicais e de greves entre metalúrgicos e canavieiros")</f>
        <v>Movimentos cruzados, histórias específicas: estudo comparativo das práticas sindicais e de greves entre metalúrgicos e canavieiros</v>
      </c>
      <c r="B621" s="24" t="str">
        <f>IFERROR(__xludf.DUMMYFUNCTION("""COMPUTED_VALUE"""),"organização, José Sergio Leite Lopes, Beatriz Heredia")</f>
        <v>organização, José Sergio Leite Lopes, Beatriz Heredia</v>
      </c>
      <c r="C621" s="24" t="str">
        <f>IFERROR(__xludf.DUMMYFUNCTION("""COMPUTED_VALUE"""),"Rio de Janeiro")</f>
        <v>Rio de Janeiro</v>
      </c>
      <c r="D621" s="24" t="str">
        <f>IFERROR(__xludf.DUMMYFUNCTION("""COMPUTED_VALUE"""),"Editora UFRJ")</f>
        <v>Editora UFRJ</v>
      </c>
      <c r="E621" s="25">
        <f>IFERROR(__xludf.DUMMYFUNCTION("""COMPUTED_VALUE"""),2019.0)</f>
        <v>2019</v>
      </c>
      <c r="F621" s="24" t="str">
        <f>IFERROR(__xludf.DUMMYFUNCTION("""COMPUTED_VALUE"""),"Greves; Metalúrgicos; Canavieiros; Práticas sindicais")</f>
        <v>Greves; Metalúrgicos; Canavieiros; Práticas sindicais</v>
      </c>
      <c r="G621" s="28" t="str">
        <f>IFERROR(__xludf.DUMMYFUNCTION("""COMPUTED_VALUE"""),"9788571084575")</f>
        <v>9788571084575</v>
      </c>
      <c r="H621" s="29" t="str">
        <f>IFERROR(__xludf.DUMMYFUNCTION("""COMPUTED_VALUE"""),"http://www.editora.ufrj.br/DynamicItems/livrosabertos-1/Movimentos-cruzados-1ed2020.pdf")</f>
        <v>http://www.editora.ufrj.br/DynamicItems/livrosabertos-1/Movimentos-cruzados-1ed2020.pdf</v>
      </c>
      <c r="I621" s="24" t="str">
        <f>IFERROR(__xludf.DUMMYFUNCTION("""COMPUTED_VALUE"""),"Ciências Humanas")</f>
        <v>Ciências Humanas</v>
      </c>
    </row>
    <row r="622">
      <c r="A622" s="24" t="str">
        <f>IFERROR(__xludf.DUMMYFUNCTION("""COMPUTED_VALUE"""),"Movimentos curriculares: um estudo de casos sobre políticas de currículo em ação")</f>
        <v>Movimentos curriculares: um estudo de casos sobre políticas de currículo em ação</v>
      </c>
      <c r="B622" s="24" t="str">
        <f>IFERROR(__xludf.DUMMYFUNCTION("""COMPUTED_VALUE"""),"Janete Magalhães Carvalho, organizadora")</f>
        <v>Janete Magalhães Carvalho, organizadora</v>
      </c>
      <c r="C622" s="24" t="str">
        <f>IFERROR(__xludf.DUMMYFUNCTION("""COMPUTED_VALUE"""),"Vitória")</f>
        <v>Vitória</v>
      </c>
      <c r="D622" s="24" t="str">
        <f>IFERROR(__xludf.DUMMYFUNCTION("""COMPUTED_VALUE"""),"EDUFES")</f>
        <v>EDUFES</v>
      </c>
      <c r="E622" s="25">
        <f>IFERROR(__xludf.DUMMYFUNCTION("""COMPUTED_VALUE"""),2014.0)</f>
        <v>2014</v>
      </c>
      <c r="F622" s="24" t="str">
        <f>IFERROR(__xludf.DUMMYFUNCTION("""COMPUTED_VALUE"""),"Educação; Administração; Currículos; Ensino fundamental")</f>
        <v>Educação; Administração; Currículos; Ensino fundamental</v>
      </c>
      <c r="G622" s="28" t="str">
        <f>IFERROR(__xludf.DUMMYFUNCTION("""COMPUTED_VALUE"""),"9788577721825")</f>
        <v>9788577721825</v>
      </c>
      <c r="H622" s="29" t="str">
        <f>IFERROR(__xludf.DUMMYFUNCTION("""COMPUTED_VALUE"""),"http://repositorio.ufes.br/bitstream/10/1158/1/Livro%20edufes%20movimentos%20curriculares%20um%20estudo%20de%20casos%20sobre%20pol%C3%ADticas%20de%20curr%C3%ADculo%20em%20a%C3%A7%C3%A3o.pdf")</f>
        <v>http://repositorio.ufes.br/bitstream/10/1158/1/Livro%20edufes%20movimentos%20curriculares%20um%20estudo%20de%20casos%20sobre%20pol%C3%ADticas%20de%20curr%C3%ADculo%20em%20a%C3%A7%C3%A3o.pdf</v>
      </c>
      <c r="I622" s="24" t="str">
        <f>IFERROR(__xludf.DUMMYFUNCTION("""COMPUTED_VALUE"""),"Ciências Humanas")</f>
        <v>Ciências Humanas</v>
      </c>
    </row>
    <row r="623">
      <c r="A623" s="24" t="str">
        <f>IFERROR(__xludf.DUMMYFUNCTION("""COMPUTED_VALUE"""),"Movimentos sociais e educação: políticas e práticas")</f>
        <v>Movimentos sociais e educação: políticas e práticas</v>
      </c>
      <c r="B623" s="24" t="str">
        <f>IFERROR(__xludf.DUMMYFUNCTION("""COMPUTED_VALUE"""),"Organizado por Arlete Ramos dos; Santos... (et. al)")</f>
        <v>Organizado por Arlete Ramos dos; Santos... (et. al)</v>
      </c>
      <c r="C623" s="24" t="str">
        <f>IFERROR(__xludf.DUMMYFUNCTION("""COMPUTED_VALUE"""),"Ilhéus, BA")</f>
        <v>Ilhéus, BA</v>
      </c>
      <c r="D623" s="24" t="str">
        <f>IFERROR(__xludf.DUMMYFUNCTION("""COMPUTED_VALUE"""),"Editus")</f>
        <v>Editus</v>
      </c>
      <c r="E623" s="25">
        <f>IFERROR(__xludf.DUMMYFUNCTION("""COMPUTED_VALUE"""),2019.0)</f>
        <v>2019</v>
      </c>
      <c r="F623" s="24" t="str">
        <f>IFERROR(__xludf.DUMMYFUNCTION("""COMPUTED_VALUE"""),"Educação – Aspectos sociais; Movimentos; sociais; Educação – Aspectos políticos")</f>
        <v>Educação – Aspectos sociais; Movimentos; sociais; Educação – Aspectos políticos</v>
      </c>
      <c r="G623" s="28" t="str">
        <f>IFERROR(__xludf.DUMMYFUNCTION("""COMPUTED_VALUE"""),"9788574555171")</f>
        <v>9788574555171</v>
      </c>
      <c r="H623" s="29" t="str">
        <f>IFERROR(__xludf.DUMMYFUNCTION("""COMPUTED_VALUE"""),"http://www.uesc.br/editora/livrosdigitais2019/movimentos_sociais_educacao_vol_1.pdf")</f>
        <v>http://www.uesc.br/editora/livrosdigitais2019/movimentos_sociais_educacao_vol_1.pdf</v>
      </c>
      <c r="I623" s="24" t="str">
        <f>IFERROR(__xludf.DUMMYFUNCTION("""COMPUTED_VALUE"""),"Ciências Humanas")</f>
        <v>Ciências Humanas</v>
      </c>
    </row>
    <row r="624">
      <c r="A624" s="24" t="str">
        <f>IFERROR(__xludf.DUMMYFUNCTION("""COMPUTED_VALUE"""),"Movimentos sociais e institucionalização: políticas sociais, raça e gênero no Brasil pós-transição ")</f>
        <v>Movimentos sociais e institucionalização: políticas sociais, raça e gênero no Brasil pós-transição </v>
      </c>
      <c r="B624" s="24" t="str">
        <f>IFERROR(__xludf.DUMMYFUNCTION("""COMPUTED_VALUE"""),"Adrian Gurza Lavalle ...; (et al.), organização")</f>
        <v>Adrian Gurza Lavalle ...; (et al.), organização</v>
      </c>
      <c r="C624" s="24" t="str">
        <f>IFERROR(__xludf.DUMMYFUNCTION("""COMPUTED_VALUE"""),"Rio de Janeiro, RJ")</f>
        <v>Rio de Janeiro, RJ</v>
      </c>
      <c r="D624" s="24" t="str">
        <f>IFERROR(__xludf.DUMMYFUNCTION("""COMPUTED_VALUE"""),"EdUERJ")</f>
        <v>EdUERJ</v>
      </c>
      <c r="E624" s="25">
        <f>IFERROR(__xludf.DUMMYFUNCTION("""COMPUTED_VALUE"""),2018.0)</f>
        <v>2018</v>
      </c>
      <c r="F624" s="24" t="str">
        <f>IFERROR(__xludf.DUMMYFUNCTION("""COMPUTED_VALUE"""),"Movimentos Sociais - Brasil")</f>
        <v>Movimentos Sociais - Brasil</v>
      </c>
      <c r="G624" s="28" t="str">
        <f>IFERROR(__xludf.DUMMYFUNCTION("""COMPUTED_VALUE"""),"9788575114803")</f>
        <v>9788575114803</v>
      </c>
      <c r="H624" s="29" t="str">
        <f>IFERROR(__xludf.DUMMYFUNCTION("""COMPUTED_VALUE"""),"http://books.scielo.org/id/v4cnf/pdf/lavalle-9788575114797.pdf")</f>
        <v>http://books.scielo.org/id/v4cnf/pdf/lavalle-9788575114797.pdf</v>
      </c>
      <c r="I624" s="24" t="str">
        <f>IFERROR(__xludf.DUMMYFUNCTION("""COMPUTED_VALUE"""),"Ciências Humanas")</f>
        <v>Ciências Humanas</v>
      </c>
    </row>
    <row r="625">
      <c r="A625" s="24" t="str">
        <f>IFERROR(__xludf.DUMMYFUNCTION("""COMPUTED_VALUE"""),"Movimentos sociais e participação: abordagens e experiências no Brasil e na América Latina")</f>
        <v>Movimentos sociais e participação: abordagens e experiências no Brasil e na América Latina</v>
      </c>
      <c r="B625" s="24" t="str">
        <f>IFERROR(__xludf.DUMMYFUNCTION("""COMPUTED_VALUE"""),"Scherer-Warren, Ilse; Lüchmann, Lígia Helena Hahn (org.)")</f>
        <v>Scherer-Warren, Ilse; Lüchmann, Lígia Helena Hahn (org.)</v>
      </c>
      <c r="C625" s="24" t="str">
        <f>IFERROR(__xludf.DUMMYFUNCTION("""COMPUTED_VALUE"""),"Florianópolis")</f>
        <v>Florianópolis</v>
      </c>
      <c r="D625" s="24" t="str">
        <f>IFERROR(__xludf.DUMMYFUNCTION("""COMPUTED_VALUE"""),"Editora da UFSC")</f>
        <v>Editora da UFSC</v>
      </c>
      <c r="E625" s="25">
        <f>IFERROR(__xludf.DUMMYFUNCTION("""COMPUTED_VALUE"""),2011.0)</f>
        <v>2011</v>
      </c>
      <c r="F625" s="24" t="str">
        <f>IFERROR(__xludf.DUMMYFUNCTION("""COMPUTED_VALUE"""),"Sociologia;Movimentos sociais")</f>
        <v>Sociologia;Movimentos sociais</v>
      </c>
      <c r="G625" s="28" t="str">
        <f>IFERROR(__xludf.DUMMYFUNCTION("""COMPUTED_VALUE"""),"9788532805676")</f>
        <v>9788532805676</v>
      </c>
      <c r="H625" s="29" t="str">
        <f>IFERROR(__xludf.DUMMYFUNCTION("""COMPUTED_VALUE"""),"https://repositorio.ufsc.br/handle/123456789/188058")</f>
        <v>https://repositorio.ufsc.br/handle/123456789/188058</v>
      </c>
      <c r="I625" s="24" t="str">
        <f>IFERROR(__xludf.DUMMYFUNCTION("""COMPUTED_VALUE"""),"Ciências Humanas")</f>
        <v>Ciências Humanas</v>
      </c>
    </row>
    <row r="626">
      <c r="A626" s="24" t="str">
        <f>IFERROR(__xludf.DUMMYFUNCTION("""COMPUTED_VALUE"""),"Movimentos sociais, desenvolvimento regional e desafios contemporâneos*")</f>
        <v>Movimentos sociais, desenvolvimento regional e desafios contemporâneos*</v>
      </c>
      <c r="B626" s="24" t="str">
        <f>IFERROR(__xludf.DUMMYFUNCTION("""COMPUTED_VALUE"""),"Rosana Maria Badalotti; Cristiane Tonezer; Dunia Comerlatto")</f>
        <v>Rosana Maria Badalotti; Cristiane Tonezer; Dunia Comerlatto</v>
      </c>
      <c r="C626" s="24" t="str">
        <f>IFERROR(__xludf.DUMMYFUNCTION("""COMPUTED_VALUE"""),"Chapecó")</f>
        <v>Chapecó</v>
      </c>
      <c r="D626" s="24" t="str">
        <f>IFERROR(__xludf.DUMMYFUNCTION("""COMPUTED_VALUE"""),"Argos")</f>
        <v>Argos</v>
      </c>
      <c r="E626" s="25">
        <f>IFERROR(__xludf.DUMMYFUNCTION("""COMPUTED_VALUE"""),2018.0)</f>
        <v>2018</v>
      </c>
      <c r="F626" s="24" t="str">
        <f>IFERROR(__xludf.DUMMYFUNCTION("""COMPUTED_VALUE"""),"Políticas Sociais - Dinâmicas Regionais; Movimentos Sociais Rurais; Movimentos Sociais Urbanos; Governança do Território; Institucionalidades Sociais")</f>
        <v>Políticas Sociais - Dinâmicas Regionais; Movimentos Sociais Rurais; Movimentos Sociais Urbanos; Governança do Território; Institucionalidades Sociais</v>
      </c>
      <c r="G626" s="28" t="str">
        <f>IFERROR(__xludf.DUMMYFUNCTION("""COMPUTED_VALUE"""),"9788578973001")</f>
        <v>9788578973001</v>
      </c>
      <c r="H626" s="29" t="str">
        <f>IFERROR(__xludf.DUMMYFUNCTION("""COMPUTED_VALUE"""),"https://www.editoraargos.com.br/farol/editoraargos/ebook/movimentos-sociais-desenvolvimento-regional-e-desafios-contemporaneos/735426/")</f>
        <v>https://www.editoraargos.com.br/farol/editoraargos/ebook/movimentos-sociais-desenvolvimento-regional-e-desafios-contemporaneos/735426/</v>
      </c>
      <c r="I626" s="24" t="str">
        <f>IFERROR(__xludf.DUMMYFUNCTION("""COMPUTED_VALUE"""),"Ciências Humanas")</f>
        <v>Ciências Humanas</v>
      </c>
    </row>
    <row r="627">
      <c r="A627" s="24" t="str">
        <f>IFERROR(__xludf.DUMMYFUNCTION("""COMPUTED_VALUE"""),"Mudanças socioambientais no município de Engenheiro Beltrão – Paraná: com base na história de vida e documentos de época")</f>
        <v>Mudanças socioambientais no município de Engenheiro Beltrão – Paraná: com base na história de vida e documentos de época</v>
      </c>
      <c r="B627" s="24" t="str">
        <f>IFERROR(__xludf.DUMMYFUNCTION("""COMPUTED_VALUE"""),"Janaína Silva Rossi Pereira; Mauro Parolin; Eloisa Silva de Paula Parolin; Fernando Henrique Villwock")</f>
        <v>Janaína Silva Rossi Pereira; Mauro Parolin; Eloisa Silva de Paula Parolin; Fernando Henrique Villwock</v>
      </c>
      <c r="C627" s="24" t="str">
        <f>IFERROR(__xludf.DUMMYFUNCTION("""COMPUTED_VALUE"""),"Campo Mourão, PR")</f>
        <v>Campo Mourão, PR</v>
      </c>
      <c r="D627" s="24" t="str">
        <f>IFERROR(__xludf.DUMMYFUNCTION("""COMPUTED_VALUE"""),"Editora Fecilcam")</f>
        <v>Editora Fecilcam</v>
      </c>
      <c r="E627" s="25">
        <f>IFERROR(__xludf.DUMMYFUNCTION("""COMPUTED_VALUE"""),2019.0)</f>
        <v>2019</v>
      </c>
      <c r="F627" s="24" t="str">
        <f>IFERROR(__xludf.DUMMYFUNCTION("""COMPUTED_VALUE"""),"História ambiental. Pioneiros. Desenvolvimento Regional. Paraná")</f>
        <v>História ambiental. Pioneiros. Desenvolvimento Regional. Paraná</v>
      </c>
      <c r="G627" s="28" t="str">
        <f>IFERROR(__xludf.DUMMYFUNCTION("""COMPUTED_VALUE"""),"9788588753549")</f>
        <v>9788588753549</v>
      </c>
      <c r="H627" s="29" t="str">
        <f>IFERROR(__xludf.DUMMYFUNCTION("""COMPUTED_VALUE"""),"http://campomourao.unespar.edu.br/editora/obras-digitais/mudancas-socioambientais-no-municipio-de-engenheiro-beltrao-2013parana-com-base-na-historia-de-vida-e-documentos-de-epoca")</f>
        <v>http://campomourao.unespar.edu.br/editora/obras-digitais/mudancas-socioambientais-no-municipio-de-engenheiro-beltrao-2013parana-com-base-na-historia-de-vida-e-documentos-de-epoca</v>
      </c>
      <c r="I627" s="24" t="str">
        <f>IFERROR(__xludf.DUMMYFUNCTION("""COMPUTED_VALUE"""),"Ciências Humanas")</f>
        <v>Ciências Humanas</v>
      </c>
    </row>
    <row r="628">
      <c r="A628" s="24" t="str">
        <f>IFERROR(__xludf.DUMMYFUNCTION("""COMPUTED_VALUE"""),"Mulher e gênero em debate: representações, poder e ideologia")</f>
        <v>Mulher e gênero em debate: representações, poder e ideologia</v>
      </c>
      <c r="B628" s="24" t="str">
        <f>IFERROR(__xludf.DUMMYFUNCTION("""COMPUTED_VALUE"""),"Maria Beatriz Nader, Lívia de Azevedo Silveira Rangel, organizadoras")</f>
        <v>Maria Beatriz Nader, Lívia de Azevedo Silveira Rangel, organizadoras</v>
      </c>
      <c r="C628" s="24" t="str">
        <f>IFERROR(__xludf.DUMMYFUNCTION("""COMPUTED_VALUE"""),"Vitória")</f>
        <v>Vitória</v>
      </c>
      <c r="D628" s="24" t="str">
        <f>IFERROR(__xludf.DUMMYFUNCTION("""COMPUTED_VALUE"""),"EDUFES")</f>
        <v>EDUFES</v>
      </c>
      <c r="E628" s="25">
        <f>IFERROR(__xludf.DUMMYFUNCTION("""COMPUTED_VALUE"""),2014.0)</f>
        <v>2014</v>
      </c>
      <c r="F628" s="24" t="str">
        <f>IFERROR(__xludf.DUMMYFUNCTION("""COMPUTED_VALUE"""),"Relações de gênero; Poder; Representações sociais; Mulheres")</f>
        <v>Relações de gênero; Poder; Representações sociais; Mulheres</v>
      </c>
      <c r="G628" s="28" t="str">
        <f>IFERROR(__xludf.DUMMYFUNCTION("""COMPUTED_VALUE"""),"9788577722587")</f>
        <v>9788577722587</v>
      </c>
      <c r="H628" s="29" t="str">
        <f>IFERROR(__xludf.DUMMYFUNCTION("""COMPUTED_VALUE"""),"http://repositorio.ufes.br/bitstream/10/1028/1/livro%20edufes%20mulher%20e%20genero%20em%20debate.pdf")</f>
        <v>http://repositorio.ufes.br/bitstream/10/1028/1/livro%20edufes%20mulher%20e%20genero%20em%20debate.pdf</v>
      </c>
      <c r="I628" s="24" t="str">
        <f>IFERROR(__xludf.DUMMYFUNCTION("""COMPUTED_VALUE"""),"Ciências Humanas")</f>
        <v>Ciências Humanas</v>
      </c>
    </row>
    <row r="629">
      <c r="A629" s="24" t="str">
        <f>IFERROR(__xludf.DUMMYFUNCTION("""COMPUTED_VALUE"""),"Mulheres Kaiowá e Guarani: expressões ")</f>
        <v>Mulheres Kaiowá e Guarani: expressões </v>
      </c>
      <c r="B629" s="24" t="str">
        <f>IFERROR(__xludf.DUMMYFUNCTION("""COMPUTED_VALUE"""),"Ana Maria Colling, Losandro Antonio Tedeschi (org.)")</f>
        <v>Ana Maria Colling, Losandro Antonio Tedeschi (org.)</v>
      </c>
      <c r="C629" s="24" t="str">
        <f>IFERROR(__xludf.DUMMYFUNCTION("""COMPUTED_VALUE"""),"Dourados, MS")</f>
        <v>Dourados, MS</v>
      </c>
      <c r="D629" s="24" t="str">
        <f>IFERROR(__xludf.DUMMYFUNCTION("""COMPUTED_VALUE"""),"Ed. da UFGD")</f>
        <v>Ed. da UFGD</v>
      </c>
      <c r="E629" s="25">
        <f>IFERROR(__xludf.DUMMYFUNCTION("""COMPUTED_VALUE"""),2014.0)</f>
        <v>2014</v>
      </c>
      <c r="F629" s="24" t="str">
        <f>IFERROR(__xludf.DUMMYFUNCTION("""COMPUTED_VALUE"""),"Índios – Fotografias; Indígenas; Mulheres Kaiowá; Mulheres Guarani")</f>
        <v>Índios – Fotografias; Indígenas; Mulheres Kaiowá; Mulheres Guarani</v>
      </c>
      <c r="G629" s="28" t="str">
        <f>IFERROR(__xludf.DUMMYFUNCTION("""COMPUTED_VALUE"""),"9788581470900")</f>
        <v>9788581470900</v>
      </c>
      <c r="H629" s="29" t="str">
        <f>IFERROR(__xludf.DUMMYFUNCTION("""COMPUTED_VALUE"""),"http://omp.ufgd.edu.br/omp/index.php/livrosabertos/catalog/view/145/234/525-2")</f>
        <v>http://omp.ufgd.edu.br/omp/index.php/livrosabertos/catalog/view/145/234/525-2</v>
      </c>
      <c r="I629" s="24" t="str">
        <f>IFERROR(__xludf.DUMMYFUNCTION("""COMPUTED_VALUE"""),"Ciências Humanas")</f>
        <v>Ciências Humanas</v>
      </c>
    </row>
    <row r="630">
      <c r="A630" s="24" t="str">
        <f>IFERROR(__xludf.DUMMYFUNCTION("""COMPUTED_VALUE"""),"Mulheres na história de Mato Grosso do Sul.")</f>
        <v>Mulheres na história de Mato Grosso do Sul.</v>
      </c>
      <c r="B630" s="24" t="str">
        <f>IFERROR(__xludf.DUMMYFUNCTION("""COMPUTED_VALUE"""),"Organizadoras: Marisa de Fátima Lomba de Farias, Alexandra Lopes da Costa, Luciana Branco Vieira. ")</f>
        <v>Organizadoras: Marisa de Fátima Lomba de Farias, Alexandra Lopes da Costa, Luciana Branco Vieira. </v>
      </c>
      <c r="C630" s="24" t="str">
        <f>IFERROR(__xludf.DUMMYFUNCTION("""COMPUTED_VALUE"""),"Dourados, MS")</f>
        <v>Dourados, MS</v>
      </c>
      <c r="D630" s="24" t="str">
        <f>IFERROR(__xludf.DUMMYFUNCTION("""COMPUTED_VALUE"""),"Ed. da UFGD")</f>
        <v>Ed. da UFGD</v>
      </c>
      <c r="E630" s="25">
        <f>IFERROR(__xludf.DUMMYFUNCTION("""COMPUTED_VALUE"""),2017.0)</f>
        <v>2017</v>
      </c>
      <c r="F630" s="24" t="str">
        <f>IFERROR(__xludf.DUMMYFUNCTION("""COMPUTED_VALUE"""),"História de mulheres; Gênero; Poder")</f>
        <v>História de mulheres; Gênero; Poder</v>
      </c>
      <c r="G630" s="28" t="str">
        <f>IFERROR(__xludf.DUMMYFUNCTION("""COMPUTED_VALUE"""),"9788581471372")</f>
        <v>9788581471372</v>
      </c>
      <c r="H630" s="29" t="str">
        <f>IFERROR(__xludf.DUMMYFUNCTION("""COMPUTED_VALUE"""),"http://omp.ufgd.edu.br/omp/index.php/livrosabertos/catalog/view/146/198/479-1")</f>
        <v>http://omp.ufgd.edu.br/omp/index.php/livrosabertos/catalog/view/146/198/479-1</v>
      </c>
      <c r="I630" s="24" t="str">
        <f>IFERROR(__xludf.DUMMYFUNCTION("""COMPUTED_VALUE"""),"Ciências Humanas")</f>
        <v>Ciências Humanas</v>
      </c>
    </row>
    <row r="631">
      <c r="A631" s="24" t="str">
        <f>IFERROR(__xludf.DUMMYFUNCTION("""COMPUTED_VALUE"""),"Mulheres no Campo de Marte: um estudo sobre o habitus de gênero na oficialidade do Exército Brasileiro")</f>
        <v>Mulheres no Campo de Marte: um estudo sobre o habitus de gênero na oficialidade do Exército Brasileiro</v>
      </c>
      <c r="B631" s="24" t="str">
        <f>IFERROR(__xludf.DUMMYFUNCTION("""COMPUTED_VALUE"""),"Júlio César Gomes")</f>
        <v>Júlio César Gomes</v>
      </c>
      <c r="C631" s="24" t="str">
        <f>IFERROR(__xludf.DUMMYFUNCTION("""COMPUTED_VALUE"""),"Rio de Janeiro")</f>
        <v>Rio de Janeiro</v>
      </c>
      <c r="D631" s="24" t="str">
        <f>IFERROR(__xludf.DUMMYFUNCTION("""COMPUTED_VALUE"""),"Editora PUC Rio")</f>
        <v>Editora PUC Rio</v>
      </c>
      <c r="E631" s="25">
        <f>IFERROR(__xludf.DUMMYFUNCTION("""COMPUTED_VALUE"""),2018.0)</f>
        <v>2018</v>
      </c>
      <c r="F631" s="24" t="str">
        <f>IFERROR(__xludf.DUMMYFUNCTION("""COMPUTED_VALUE"""),"Mulheres militares. Papel sexual. Homens militares. Brasil. Exército –Oficiais")</f>
        <v>Mulheres militares. Papel sexual. Homens militares. Brasil. Exército –Oficiais</v>
      </c>
      <c r="G631" s="28" t="str">
        <f>IFERROR(__xludf.DUMMYFUNCTION("""COMPUTED_VALUE"""),"9788580062403")</f>
        <v>9788580062403</v>
      </c>
      <c r="H631" s="29" t="str">
        <f>IFERROR(__xludf.DUMMYFUNCTION("""COMPUTED_VALUE"""),"http://www.editora.puc-rio.br/media/mulheres%20no%20campo%20de%20marte%20miolo.pdf")</f>
        <v>http://www.editora.puc-rio.br/media/mulheres%20no%20campo%20de%20marte%20miolo.pdf</v>
      </c>
      <c r="I631" s="24" t="str">
        <f>IFERROR(__xludf.DUMMYFUNCTION("""COMPUTED_VALUE"""),"Ciências Humanas")</f>
        <v>Ciências Humanas</v>
      </c>
    </row>
    <row r="632">
      <c r="A632" s="24" t="str">
        <f>IFERROR(__xludf.DUMMYFUNCTION("""COMPUTED_VALUE"""),"Multitecas: de estantes e instantes")</f>
        <v>Multitecas: de estantes e instantes</v>
      </c>
      <c r="B632" s="24" t="str">
        <f>IFERROR(__xludf.DUMMYFUNCTION("""COMPUTED_VALUE"""),"Olira Rodrigues")</f>
        <v>Olira Rodrigues</v>
      </c>
      <c r="C632" s="24" t="str">
        <f>IFERROR(__xludf.DUMMYFUNCTION("""COMPUTED_VALUE"""),"Anápolis")</f>
        <v>Anápolis</v>
      </c>
      <c r="D632" s="24" t="str">
        <f>IFERROR(__xludf.DUMMYFUNCTION("""COMPUTED_VALUE"""),"UEG")</f>
        <v>UEG</v>
      </c>
      <c r="E632" s="25">
        <f>IFERROR(__xludf.DUMMYFUNCTION("""COMPUTED_VALUE"""),2019.0)</f>
        <v>2019</v>
      </c>
      <c r="F632" s="24" t="str">
        <f>IFERROR(__xludf.DUMMYFUNCTION("""COMPUTED_VALUE"""),"Humanidades Digitais; Cultura Digital; Bibliotecas contemporâneas; Multitecas")</f>
        <v>Humanidades Digitais; Cultura Digital; Bibliotecas contemporâneas; Multitecas</v>
      </c>
      <c r="G632" s="28" t="str">
        <f>IFERROR(__xludf.DUMMYFUNCTION("""COMPUTED_VALUE"""),"9788555820663")</f>
        <v>9788555820663</v>
      </c>
      <c r="H632" s="29" t="str">
        <f>IFERROR(__xludf.DUMMYFUNCTION("""COMPUTED_VALUE"""),"http://cdn.ueg.edu.br/source/editora_ueg/conteudo_compartilhado/10968/ebook_multitecas/ebook_multitecas_de_estantes_a_instantes_2019.pdf")</f>
        <v>http://cdn.ueg.edu.br/source/editora_ueg/conteudo_compartilhado/10968/ebook_multitecas/ebook_multitecas_de_estantes_a_instantes_2019.pdf</v>
      </c>
      <c r="I632" s="24" t="str">
        <f>IFERROR(__xludf.DUMMYFUNCTION("""COMPUTED_VALUE"""),"Ciências Humanas")</f>
        <v>Ciências Humanas</v>
      </c>
    </row>
    <row r="633">
      <c r="A633" s="24" t="str">
        <f>IFERROR(__xludf.DUMMYFUNCTION("""COMPUTED_VALUE"""),"Mundo em transição: novos vértices de poder, instituições e cooperação")</f>
        <v>Mundo em transição: novos vértices de poder, instituições e cooperação</v>
      </c>
      <c r="B633" s="24" t="str">
        <f>IFERROR(__xludf.DUMMYFUNCTION("""COMPUTED_VALUE"""),"(org.) Karina L.P. Mariano, Roberto Goulart Menezes, Hermes Moreira Jr.")</f>
        <v>(org.) Karina L.P. Mariano, Roberto Goulart Menezes, Hermes Moreira Jr.</v>
      </c>
      <c r="C633" s="24" t="str">
        <f>IFERROR(__xludf.DUMMYFUNCTION("""COMPUTED_VALUE"""),"Dourados, MS")</f>
        <v>Dourados, MS</v>
      </c>
      <c r="D633" s="24" t="str">
        <f>IFERROR(__xludf.DUMMYFUNCTION("""COMPUTED_VALUE"""),"Ed. da UFGD")</f>
        <v>Ed. da UFGD</v>
      </c>
      <c r="E633" s="25">
        <f>IFERROR(__xludf.DUMMYFUNCTION("""COMPUTED_VALUE"""),2017.0)</f>
        <v>2017</v>
      </c>
      <c r="F633" s="24" t="str">
        <f>IFERROR(__xludf.DUMMYFUNCTION("""COMPUTED_VALUE"""),"Política externa; Integração regional; Cooperação internacional")</f>
        <v>Política externa; Integração regional; Cooperação internacional</v>
      </c>
      <c r="G633" s="28" t="str">
        <f>IFERROR(__xludf.DUMMYFUNCTION("""COMPUTED_VALUE"""),"9788581471495")</f>
        <v>9788581471495</v>
      </c>
      <c r="H633" s="29" t="str">
        <f>IFERROR(__xludf.DUMMYFUNCTION("""COMPUTED_VALUE"""),"http://omp.ufgd.edu.br/omp/index.php/livrosabertos/catalog/view/147/197/478-1")</f>
        <v>http://omp.ufgd.edu.br/omp/index.php/livrosabertos/catalog/view/147/197/478-1</v>
      </c>
      <c r="I633" s="24" t="str">
        <f>IFERROR(__xludf.DUMMYFUNCTION("""COMPUTED_VALUE"""),"Ciências Humanas")</f>
        <v>Ciências Humanas</v>
      </c>
    </row>
    <row r="634">
      <c r="A634" s="24" t="str">
        <f>IFERROR(__xludf.DUMMYFUNCTION("""COMPUTED_VALUE"""),"Município de Barra do Piraí")</f>
        <v>Município de Barra do Piraí</v>
      </c>
      <c r="B634" s="24" t="str">
        <f>IFERROR(__xludf.DUMMYFUNCTION("""COMPUTED_VALUE"""),"(Organização) Glaucio José Marafon")</f>
        <v>(Organização) Glaucio José Marafon</v>
      </c>
      <c r="C634" s="24" t="str">
        <f>IFERROR(__xludf.DUMMYFUNCTION("""COMPUTED_VALUE"""),"Rio de Janeiro")</f>
        <v>Rio de Janeiro</v>
      </c>
      <c r="D634" s="24" t="str">
        <f>IFERROR(__xludf.DUMMYFUNCTION("""COMPUTED_VALUE"""),"EdUERJ")</f>
        <v>EdUERJ</v>
      </c>
      <c r="E634" s="25">
        <f>IFERROR(__xludf.DUMMYFUNCTION("""COMPUTED_VALUE"""),2019.0)</f>
        <v>2019</v>
      </c>
      <c r="F634" s="24" t="str">
        <f>IFERROR(__xludf.DUMMYFUNCTION("""COMPUTED_VALUE"""),"Barra do Piraí; Geografia; Mapas")</f>
        <v>Barra do Piraí; Geografia; Mapas</v>
      </c>
      <c r="G634" s="28" t="str">
        <f>IFERROR(__xludf.DUMMYFUNCTION("""COMPUTED_VALUE"""),"9788575114919")</f>
        <v>9788575114919</v>
      </c>
      <c r="H634" s="29" t="str">
        <f>IFERROR(__xludf.DUMMYFUNCTION("""COMPUTED_VALUE"""),"https://www.eduerj.com/eng/?product=municipio-de-barra-do-pirai")</f>
        <v>https://www.eduerj.com/eng/?product=municipio-de-barra-do-pirai</v>
      </c>
      <c r="I634" s="24" t="str">
        <f>IFERROR(__xludf.DUMMYFUNCTION("""COMPUTED_VALUE"""),"Ciências Humanas")</f>
        <v>Ciências Humanas</v>
      </c>
    </row>
    <row r="635">
      <c r="A635" s="24" t="str">
        <f>IFERROR(__xludf.DUMMYFUNCTION("""COMPUTED_VALUE"""),"Museu da favela: histórias de vida e memória social")</f>
        <v>Museu da favela: histórias de vida e memória social</v>
      </c>
      <c r="B635" s="24" t="str">
        <f>IFERROR(__xludf.DUMMYFUNCTION("""COMPUTED_VALUE"""),"Cintia Carvalho; Rita de Cássia Santos Pinto; Solange Jobim e Souza")</f>
        <v>Cintia Carvalho; Rita de Cássia Santos Pinto; Solange Jobim e Souza</v>
      </c>
      <c r="C635" s="24" t="str">
        <f>IFERROR(__xludf.DUMMYFUNCTION("""COMPUTED_VALUE"""),"Rio de Janeiro")</f>
        <v>Rio de Janeiro</v>
      </c>
      <c r="D635" s="24" t="str">
        <f>IFERROR(__xludf.DUMMYFUNCTION("""COMPUTED_VALUE"""),"Editora PUC Rio")</f>
        <v>Editora PUC Rio</v>
      </c>
      <c r="E635" s="25">
        <f>IFERROR(__xludf.DUMMYFUNCTION("""COMPUTED_VALUE"""),2016.0)</f>
        <v>2016</v>
      </c>
      <c r="F635" s="24" t="str">
        <f>IFERROR(__xludf.DUMMYFUNCTION("""COMPUTED_VALUE"""),"Memória coletiva. Escuta (Psicologia). Mulheres. Identidade social. Museu de Favela")</f>
        <v>Memória coletiva. Escuta (Psicologia). Mulheres. Identidade social. Museu de Favela</v>
      </c>
      <c r="G635" s="28" t="str">
        <f>IFERROR(__xludf.DUMMYFUNCTION("""COMPUTED_VALUE"""),"9788580062281")</f>
        <v>9788580062281</v>
      </c>
      <c r="H635" s="29" t="str">
        <f>IFERROR(__xludf.DUMMYFUNCTION("""COMPUTED_VALUE"""),"http://www.editora.puc-rio.br/media/ebook_historias_de_vida_e_memoria_social")</f>
        <v>http://www.editora.puc-rio.br/media/ebook_historias_de_vida_e_memoria_social</v>
      </c>
      <c r="I635" s="24" t="str">
        <f>IFERROR(__xludf.DUMMYFUNCTION("""COMPUTED_VALUE"""),"Ciências Humanas")</f>
        <v>Ciências Humanas</v>
      </c>
    </row>
    <row r="636">
      <c r="A636" s="24" t="str">
        <f>IFERROR(__xludf.DUMMYFUNCTION("""COMPUTED_VALUE"""),"Música, educação e informática: gênese e construção de conceitos musicais na escola")</f>
        <v>Música, educação e informática: gênese e construção de conceitos musicais na escola</v>
      </c>
      <c r="B636" s="24" t="str">
        <f>IFERROR(__xludf.DUMMYFUNCTION("""COMPUTED_VALUE"""),"Eliton Pereira")</f>
        <v>Eliton Pereira</v>
      </c>
      <c r="C636" s="24" t="str">
        <f>IFERROR(__xludf.DUMMYFUNCTION("""COMPUTED_VALUE"""),"Goiânia, GO")</f>
        <v>Goiânia, GO</v>
      </c>
      <c r="D636" s="24" t="str">
        <f>IFERROR(__xludf.DUMMYFUNCTION("""COMPUTED_VALUE"""),"Editora IFG")</f>
        <v>Editora IFG</v>
      </c>
      <c r="E636" s="25">
        <f>IFERROR(__xludf.DUMMYFUNCTION("""COMPUTED_VALUE"""),2013.0)</f>
        <v>2013</v>
      </c>
      <c r="F636" s="24" t="str">
        <f>IFERROR(__xludf.DUMMYFUNCTION("""COMPUTED_VALUE"""),"Educação musical; Informática educativa; Construção de conceitos; Escola pública; Socioconstrutivismo")</f>
        <v>Educação musical; Informática educativa; Construção de conceitos; Escola pública; Socioconstrutivismo</v>
      </c>
      <c r="G636" s="28" t="str">
        <f>IFERROR(__xludf.DUMMYFUNCTION("""COMPUTED_VALUE"""),"9788567022017")</f>
        <v>9788567022017</v>
      </c>
      <c r="H636" s="29" t="str">
        <f>IFERROR(__xludf.DUMMYFUNCTION("""COMPUTED_VALUE"""),"https://editora.ifg.edu.br/editoraifg/catalog/view/9/8/36-1")</f>
        <v>https://editora.ifg.edu.br/editoraifg/catalog/view/9/8/36-1</v>
      </c>
      <c r="I636" s="24" t="str">
        <f>IFERROR(__xludf.DUMMYFUNCTION("""COMPUTED_VALUE"""),"Ciências Humanas")</f>
        <v>Ciências Humanas</v>
      </c>
    </row>
    <row r="637">
      <c r="A637" s="24" t="str">
        <f>IFERROR(__xludf.DUMMYFUNCTION("""COMPUTED_VALUE"""),"Na beleza do lugar, o Rio das Contas indo... ao mar")</f>
        <v>Na beleza do lugar, o Rio das Contas indo... ao mar</v>
      </c>
      <c r="B637" s="24" t="str">
        <f>IFERROR(__xludf.DUMMYFUNCTION("""COMPUTED_VALUE"""),"Rita Jaqueline Nogueira Chiapetti")</f>
        <v>Rita Jaqueline Nogueira Chiapetti</v>
      </c>
      <c r="C637" s="24" t="str">
        <f>IFERROR(__xludf.DUMMYFUNCTION("""COMPUTED_VALUE"""),"Ilhéus, BA")</f>
        <v>Ilhéus, BA</v>
      </c>
      <c r="D637" s="24" t="str">
        <f>IFERROR(__xludf.DUMMYFUNCTION("""COMPUTED_VALUE"""),"Editus")</f>
        <v>Editus</v>
      </c>
      <c r="E637" s="25">
        <f>IFERROR(__xludf.DUMMYFUNCTION("""COMPUTED_VALUE"""),2014.0)</f>
        <v>2014</v>
      </c>
      <c r="F637" s="24" t="str">
        <f>IFERROR(__xludf.DUMMYFUNCTION("""COMPUTED_VALUE"""),"Geografia humana; Geografia Física; Contas,; Rio de, (BA); Paisagens – Itacaré (BA)")</f>
        <v>Geografia humana; Geografia Física; Contas,; Rio de, (BA); Paisagens – Itacaré (BA)</v>
      </c>
      <c r="G637" s="28" t="str">
        <f>IFERROR(__xludf.DUMMYFUNCTION("""COMPUTED_VALUE"""),"9788574553511")</f>
        <v>9788574553511</v>
      </c>
      <c r="H637" s="29" t="str">
        <f>IFERROR(__xludf.DUMMYFUNCTION("""COMPUTED_VALUE"""),"http://www.uesc.br/editora/livrosdigitais2016/miolo_na_beleza_do_lugar.pdf")</f>
        <v>http://www.uesc.br/editora/livrosdigitais2016/miolo_na_beleza_do_lugar.pdf</v>
      </c>
      <c r="I637" s="24" t="str">
        <f>IFERROR(__xludf.DUMMYFUNCTION("""COMPUTED_VALUE"""),"Ciências Humanas")</f>
        <v>Ciências Humanas</v>
      </c>
    </row>
    <row r="638">
      <c r="A638" s="24" t="str">
        <f>IFERROR(__xludf.DUMMYFUNCTION("""COMPUTED_VALUE"""),"Ñande Ru Marangatu: laudo percial sobre uma terra kaiowa na fronteira do Brasil com o Paraguai, em Mato Grosso do Sul.")</f>
        <v>Ñande Ru Marangatu: laudo percial sobre uma terra kaiowa na fronteira do Brasil com o Paraguai, em Mato Grosso do Sul.</v>
      </c>
      <c r="B638" s="24" t="str">
        <f>IFERROR(__xludf.DUMMYFUNCTION("""COMPUTED_VALUE"""),"Jorge Eremites de Oliveira, Levi Marques Pereira.")</f>
        <v>Jorge Eremites de Oliveira, Levi Marques Pereira.</v>
      </c>
      <c r="C638" s="24" t="str">
        <f>IFERROR(__xludf.DUMMYFUNCTION("""COMPUTED_VALUE"""),"Dourados, MS")</f>
        <v>Dourados, MS</v>
      </c>
      <c r="D638" s="24" t="str">
        <f>IFERROR(__xludf.DUMMYFUNCTION("""COMPUTED_VALUE"""),"Ed. da UFGD")</f>
        <v>Ed. da UFGD</v>
      </c>
      <c r="E638" s="25">
        <f>IFERROR(__xludf.DUMMYFUNCTION("""COMPUTED_VALUE"""),2009.0)</f>
        <v>2009</v>
      </c>
      <c r="F638" s="24" t="str">
        <f>IFERROR(__xludf.DUMMYFUNCTION("""COMPUTED_VALUE"""),"Índios Kaiowa; Índios Kaiowa – História – An-tonio João – Mato Grosso do Sul; Questões indígenas regionais")</f>
        <v>Índios Kaiowa; Índios Kaiowa – História – An-tonio João – Mato Grosso do Sul; Questões indígenas regionais</v>
      </c>
      <c r="G638" s="28" t="str">
        <f>IFERROR(__xludf.DUMMYFUNCTION("""COMPUTED_VALUE"""),"9788561228439")</f>
        <v>9788561228439</v>
      </c>
      <c r="H638" s="29" t="str">
        <f>IFERROR(__xludf.DUMMYFUNCTION("""COMPUTED_VALUE"""),"http://omp.ufgd.edu.br/omp/index.php/livrosabertos/catalog/view/149/196/477-1")</f>
        <v>http://omp.ufgd.edu.br/omp/index.php/livrosabertos/catalog/view/149/196/477-1</v>
      </c>
      <c r="I638" s="24" t="str">
        <f>IFERROR(__xludf.DUMMYFUNCTION("""COMPUTED_VALUE"""),"Ciências Humanas")</f>
        <v>Ciências Humanas</v>
      </c>
    </row>
    <row r="639">
      <c r="A639" s="24" t="str">
        <f>IFERROR(__xludf.DUMMYFUNCTION("""COMPUTED_VALUE"""),"Narrativas auto (biográficas): percursos formativos e resistências em contextos de pobreza e desigualdade social (Volume I)")</f>
        <v>Narrativas auto (biográficas): percursos formativos e resistências em contextos de pobreza e desigualdade social (Volume I)</v>
      </c>
      <c r="B639" s="24" t="str">
        <f>IFERROR(__xludf.DUMMYFUNCTION("""COMPUTED_VALUE"""),"Célia Regina Teixeira, Francymara Antônio N. de Assis, Joel Araújo Queiroz, Joseval dos Reis Miranda, Maria Valdelnice Resende Soares")</f>
        <v>Célia Regina Teixeira, Francymara Antônio N. de Assis, Joel Araújo Queiroz, Joseval dos Reis Miranda, Maria Valdelnice Resende Soares</v>
      </c>
      <c r="C639" s="24" t="str">
        <f>IFERROR(__xludf.DUMMYFUNCTION("""COMPUTED_VALUE"""),"João Pessoa")</f>
        <v>João Pessoa</v>
      </c>
      <c r="D639" s="24" t="str">
        <f>IFERROR(__xludf.DUMMYFUNCTION("""COMPUTED_VALUE"""),"Editora da UFPB")</f>
        <v>Editora da UFPB</v>
      </c>
      <c r="E639" s="25">
        <f>IFERROR(__xludf.DUMMYFUNCTION("""COMPUTED_VALUE"""),2018.0)</f>
        <v>2018</v>
      </c>
      <c r="F639" s="24" t="str">
        <f>IFERROR(__xludf.DUMMYFUNCTION("""COMPUTED_VALUE"""),"Desigualdade social. Desigualdade econômica.Educação")</f>
        <v>Desigualdade social. Desigualdade econômica.Educação</v>
      </c>
      <c r="G639" s="28" t="str">
        <f>IFERROR(__xludf.DUMMYFUNCTION("""COMPUTED_VALUE"""),"9788523713645")</f>
        <v>9788523713645</v>
      </c>
      <c r="H639" s="29" t="str">
        <f>IFERROR(__xludf.DUMMYFUNCTION("""COMPUTED_VALUE"""),"http://www.editora.ufpb.br/sistema/press5/index.php/UFPB/catalog/book/196")</f>
        <v>http://www.editora.ufpb.br/sistema/press5/index.php/UFPB/catalog/book/196</v>
      </c>
      <c r="I639" s="24" t="str">
        <f>IFERROR(__xludf.DUMMYFUNCTION("""COMPUTED_VALUE"""),"Ciências Humanas")</f>
        <v>Ciências Humanas</v>
      </c>
    </row>
    <row r="640">
      <c r="A640" s="24" t="str">
        <f>IFERROR(__xludf.DUMMYFUNCTION("""COMPUTED_VALUE"""),"Narrativas das experiências docentes com o uso de tecnologias na educação")</f>
        <v>Narrativas das experiências docentes com o uso de tecnologias na educação</v>
      </c>
      <c r="B640" s="24" t="str">
        <f>IFERROR(__xludf.DUMMYFUNCTION("""COMPUTED_VALUE"""),"Adriana Barroso de Azevedo; Maria da Conceição Passeggi (org.)")</f>
        <v>Adriana Barroso de Azevedo; Maria da Conceição Passeggi (org.)</v>
      </c>
      <c r="C640" s="24" t="str">
        <f>IFERROR(__xludf.DUMMYFUNCTION("""COMPUTED_VALUE"""),"São Bernardo do Campo, SP")</f>
        <v>São Bernardo do Campo, SP</v>
      </c>
      <c r="D640" s="24" t="str">
        <f>IFERROR(__xludf.DUMMYFUNCTION("""COMPUTED_VALUE"""),"UMESP")</f>
        <v>UMESP</v>
      </c>
      <c r="E640" s="25">
        <f>IFERROR(__xludf.DUMMYFUNCTION("""COMPUTED_VALUE"""),2016.0)</f>
        <v>2016</v>
      </c>
      <c r="F640" s="24" t="str">
        <f>IFERROR(__xludf.DUMMYFUNCTION("""COMPUTED_VALUE"""),"Educação e tecnologia. Novas tecnologias. Professores. Formação profissiona. Comunicação")</f>
        <v>Educação e tecnologia. Novas tecnologias. Professores. Formação profissiona. Comunicação</v>
      </c>
      <c r="G640" s="28" t="str">
        <f>IFERROR(__xludf.DUMMYFUNCTION("""COMPUTED_VALUE"""),"9788578143343")</f>
        <v>9788578143343</v>
      </c>
      <c r="H640" s="29" t="str">
        <f>IFERROR(__xludf.DUMMYFUNCTION("""COMPUTED_VALUE"""),"http://editora.metodista.br/livros-gratis/narrativas.pdf/at_download/file")</f>
        <v>http://editora.metodista.br/livros-gratis/narrativas.pdf/at_download/file</v>
      </c>
      <c r="I640" s="24" t="str">
        <f>IFERROR(__xludf.DUMMYFUNCTION("""COMPUTED_VALUE"""),"Ciências Humanas")</f>
        <v>Ciências Humanas</v>
      </c>
    </row>
    <row r="641">
      <c r="A641" s="24" t="str">
        <f>IFERROR(__xludf.DUMMYFUNCTION("""COMPUTED_VALUE"""),"Nas rotas do império: eixos mercantis, tráfico e relações sociais no mundo português. (2.ed.)")</f>
        <v>Nas rotas do império: eixos mercantis, tráfico e relações sociais no mundo português. (2.ed.)</v>
      </c>
      <c r="B641" s="24" t="str">
        <f>IFERROR(__xludf.DUMMYFUNCTION("""COMPUTED_VALUE"""),"João Fragoso, Manolo Florentino, Antônio Carlos Jucá, Adriana Campos (org.)")</f>
        <v>João Fragoso, Manolo Florentino, Antônio Carlos Jucá, Adriana Campos (org.)</v>
      </c>
      <c r="C641" s="24" t="str">
        <f>IFERROR(__xludf.DUMMYFUNCTION("""COMPUTED_VALUE"""),"Vitória")</f>
        <v>Vitória</v>
      </c>
      <c r="D641" s="24" t="str">
        <f>IFERROR(__xludf.DUMMYFUNCTION("""COMPUTED_VALUE"""),"EDUFES")</f>
        <v>EDUFES</v>
      </c>
      <c r="E641" s="25">
        <f>IFERROR(__xludf.DUMMYFUNCTION("""COMPUTED_VALUE"""),2014.0)</f>
        <v>2014</v>
      </c>
      <c r="F641" s="24" t="str">
        <f>IFERROR(__xludf.DUMMYFUNCTION("""COMPUTED_VALUE"""),"Escravidão; Escravos; Império")</f>
        <v>Escravidão; Escravos; Império</v>
      </c>
      <c r="G641" s="28" t="str">
        <f>IFERROR(__xludf.DUMMYFUNCTION("""COMPUTED_VALUE"""),"9788577721832")</f>
        <v>9788577721832</v>
      </c>
      <c r="H641" s="29" t="str">
        <f>IFERROR(__xludf.DUMMYFUNCTION("""COMPUTED_VALUE"""),"http://repositorio.ufes.br/bitstream/10/1227/1/Livro%20edufes%20Nas%20rotas%20do%20Imp%C3%A9rio%20eixos%20mercantis%2C%20tr%C3%A1fico%20e%20rela%C3%A7%C3%B5es%20sociais%20no%20mundo%20portugu%C3%AAs.pdf")</f>
        <v>http://repositorio.ufes.br/bitstream/10/1227/1/Livro%20edufes%20Nas%20rotas%20do%20Imp%C3%A9rio%20eixos%20mercantis%2C%20tr%C3%A1fico%20e%20rela%C3%A7%C3%B5es%20sociais%20no%20mundo%20portugu%C3%AAs.pdf</v>
      </c>
      <c r="I641" s="24" t="str">
        <f>IFERROR(__xludf.DUMMYFUNCTION("""COMPUTED_VALUE"""),"Ciências Humanas")</f>
        <v>Ciências Humanas</v>
      </c>
    </row>
    <row r="642">
      <c r="A642" s="24" t="str">
        <f>IFERROR(__xludf.DUMMYFUNCTION("""COMPUTED_VALUE"""),"Nas Trilhas do Sertão - Escritos de cultura e política nos interiores do Ceará Sobral/CE volume 5")</f>
        <v>Nas Trilhas do Sertão - Escritos de cultura e política nos interiores do Ceará Sobral/CE volume 5</v>
      </c>
      <c r="B642" s="24" t="str">
        <f>IFERROR(__xludf.DUMMYFUNCTION("""COMPUTED_VALUE"""),"Raimundo Alves de Araújo, Reginaldo A. d’ Araújo")</f>
        <v>Raimundo Alves de Araújo, Reginaldo A. d’ Araújo</v>
      </c>
      <c r="C642" s="24" t="str">
        <f>IFERROR(__xludf.DUMMYFUNCTION("""COMPUTED_VALUE"""),"Sobral")</f>
        <v>Sobral</v>
      </c>
      <c r="D642" s="24" t="str">
        <f>IFERROR(__xludf.DUMMYFUNCTION("""COMPUTED_VALUE"""),"Edições UVA")</f>
        <v>Edições UVA</v>
      </c>
      <c r="E642" s="25">
        <f>IFERROR(__xludf.DUMMYFUNCTION("""COMPUTED_VALUE"""),2019.0)</f>
        <v>2019</v>
      </c>
      <c r="F642" s="24" t="str">
        <f>IFERROR(__xludf.DUMMYFUNCTION("""COMPUTED_VALUE"""),"Ceará - Cultura e política, Sertão CE - Contextos politiocs, História - Ceara, Sertão, CE - polÍtica e cultura")</f>
        <v>Ceará - Cultura e política, Sertão CE - Contextos politiocs, História - Ceara, Sertão, CE - polÍtica e cultura</v>
      </c>
      <c r="G642" s="28" t="str">
        <f>IFERROR(__xludf.DUMMYFUNCTION("""COMPUTED_VALUE"""),"9788595390423")</f>
        <v>9788595390423</v>
      </c>
      <c r="H642" s="29" t="str">
        <f>IFERROR(__xludf.DUMMYFUNCTION("""COMPUTED_VALUE"""),"http://www.uvanet.br/edicoes_uva/gera_xml.php?arquivo=trilhas_do_sertao")</f>
        <v>http://www.uvanet.br/edicoes_uva/gera_xml.php?arquivo=trilhas_do_sertao</v>
      </c>
      <c r="I642" s="24" t="str">
        <f>IFERROR(__xludf.DUMMYFUNCTION("""COMPUTED_VALUE"""),"Ciências Humanas")</f>
        <v>Ciências Humanas</v>
      </c>
    </row>
    <row r="643">
      <c r="A643" s="24" t="str">
        <f>IFERROR(__xludf.DUMMYFUNCTION("""COMPUTED_VALUE"""),"No coração do Pantanal: assentados na lama e na areia: as contradições entre os projetos do Estado e dos assentados no assentamento Taquaral-MS")</f>
        <v>No coração do Pantanal: assentados na lama e na areia: as contradições entre os projetos do Estado e dos assentados no assentamento Taquaral-MS</v>
      </c>
      <c r="B643" s="24" t="str">
        <f>IFERROR(__xludf.DUMMYFUNCTION("""COMPUTED_VALUE"""),"Alzira Salete Menegat")</f>
        <v>Alzira Salete Menegat</v>
      </c>
      <c r="C643" s="24" t="str">
        <f>IFERROR(__xludf.DUMMYFUNCTION("""COMPUTED_VALUE"""),"Dourados, MS")</f>
        <v>Dourados, MS</v>
      </c>
      <c r="D643" s="24" t="str">
        <f>IFERROR(__xludf.DUMMYFUNCTION("""COMPUTED_VALUE"""),"Ed. da UFGD")</f>
        <v>Ed. da UFGD</v>
      </c>
      <c r="E643" s="25">
        <f>IFERROR(__xludf.DUMMYFUNCTION("""COMPUTED_VALUE"""),2009.0)</f>
        <v>2009</v>
      </c>
      <c r="F643" s="24" t="str">
        <f>IFERROR(__xludf.DUMMYFUNCTION("""COMPUTED_VALUE"""),"Assentamentos rurais – Taquaral-MS; Agrovilas rurais; Políticas de assentamento; Divisão de espaç")</f>
        <v>Assentamentos rurais – Taquaral-MS; Agrovilas rurais; Políticas de assentamento; Divisão de espaç</v>
      </c>
      <c r="G643" s="28" t="str">
        <f>IFERROR(__xludf.DUMMYFUNCTION("""COMPUTED_VALUE"""),"9788599880128")</f>
        <v>9788599880128</v>
      </c>
      <c r="H643" s="29" t="str">
        <f>IFERROR(__xludf.DUMMYFUNCTION("""COMPUTED_VALUE"""),"http://omp.ufgd.edu.br/omp/index.php/livrosabertos/catalog/view/150/195/476-1")</f>
        <v>http://omp.ufgd.edu.br/omp/index.php/livrosabertos/catalog/view/150/195/476-1</v>
      </c>
      <c r="I643" s="24" t="str">
        <f>IFERROR(__xludf.DUMMYFUNCTION("""COMPUTED_VALUE"""),"Ciências Humanas")</f>
        <v>Ciências Humanas</v>
      </c>
    </row>
    <row r="644">
      <c r="A644" s="24" t="str">
        <f>IFERROR(__xludf.DUMMYFUNCTION("""COMPUTED_VALUE"""),"No descompasso da metrópole: um estudo sobre a dinâmica espacial da região metropolitana de Goiânia a partir do municípiode Inhumas")</f>
        <v>No descompasso da metrópole: um estudo sobre a dinâmica espacial da região metropolitana de Goiânia a partir do municípiode Inhumas</v>
      </c>
      <c r="B644" s="24" t="str">
        <f>IFERROR(__xludf.DUMMYFUNCTION("""COMPUTED_VALUE"""),"Renato Araújo Teixeira")</f>
        <v>Renato Araújo Teixeira</v>
      </c>
      <c r="C644" s="24" t="str">
        <f>IFERROR(__xludf.DUMMYFUNCTION("""COMPUTED_VALUE"""),"Goiânia, GO")</f>
        <v>Goiânia, GO</v>
      </c>
      <c r="D644" s="24" t="str">
        <f>IFERROR(__xludf.DUMMYFUNCTION("""COMPUTED_VALUE"""),"Editora IFG")</f>
        <v>Editora IFG</v>
      </c>
      <c r="E644" s="25">
        <f>IFERROR(__xludf.DUMMYFUNCTION("""COMPUTED_VALUE"""),2013.0)</f>
        <v>2013</v>
      </c>
      <c r="F644" s="24" t="str">
        <f>IFERROR(__xludf.DUMMYFUNCTION("""COMPUTED_VALUE"""),"Metrópole – descompasso – Goiânia; Inhumas – Goiás; Goiânia – região metropolitana; Dinâmica espacial")</f>
        <v>Metrópole – descompasso – Goiânia; Inhumas – Goiás; Goiânia – região metropolitana; Dinâmica espacial</v>
      </c>
      <c r="G644" s="28" t="str">
        <f>IFERROR(__xludf.DUMMYFUNCTION("""COMPUTED_VALUE"""),"9788567022024")</f>
        <v>9788567022024</v>
      </c>
      <c r="H644" s="29" t="str">
        <f>IFERROR(__xludf.DUMMYFUNCTION("""COMPUTED_VALUE"""),"https://editora.ifg.edu.br/editoraifg/catalog/view/8/7/37-1")</f>
        <v>https://editora.ifg.edu.br/editoraifg/catalog/view/8/7/37-1</v>
      </c>
      <c r="I644" s="24" t="str">
        <f>IFERROR(__xludf.DUMMYFUNCTION("""COMPUTED_VALUE"""),"Ciências Humanas")</f>
        <v>Ciências Humanas</v>
      </c>
    </row>
    <row r="645">
      <c r="A645" s="24" t="str">
        <f>IFERROR(__xludf.DUMMYFUNCTION("""COMPUTED_VALUE"""),"Noção social de território: em busca de um conceito didático em geografia: a territorialidade")</f>
        <v>Noção social de território: em busca de um conceito didático em geografia: a territorialidade</v>
      </c>
      <c r="B645" s="24" t="str">
        <f>IFERROR(__xludf.DUMMYFUNCTION("""COMPUTED_VALUE"""),"Natanael Reis Bomfim ")</f>
        <v>Natanael Reis Bomfim </v>
      </c>
      <c r="C645" s="24" t="str">
        <f>IFERROR(__xludf.DUMMYFUNCTION("""COMPUTED_VALUE"""),"Ilhéus, BA")</f>
        <v>Ilhéus, BA</v>
      </c>
      <c r="D645" s="24" t="str">
        <f>IFERROR(__xludf.DUMMYFUNCTION("""COMPUTED_VALUE"""),"Editus")</f>
        <v>Editus</v>
      </c>
      <c r="E645" s="25">
        <f>IFERROR(__xludf.DUMMYFUNCTION("""COMPUTED_VALUE"""),2009.0)</f>
        <v>2009</v>
      </c>
      <c r="F645" s="24" t="str">
        <f>IFERROR(__xludf.DUMMYFUNCTION("""COMPUTED_VALUE"""),"Territorialidade humana – Brasil; Territorialidade humana – Canadá; Brasil – Geografia; Canadá –; Geografi a")</f>
        <v>Territorialidade humana – Brasil; Territorialidade humana – Canadá; Brasil – Geografia; Canadá –; Geografi a</v>
      </c>
      <c r="G645" s="28" t="str">
        <f>IFERROR(__xludf.DUMMYFUNCTION("""COMPUTED_VALUE"""),"9788574551548")</f>
        <v>9788574551548</v>
      </c>
      <c r="H645" s="29" t="str">
        <f>IFERROR(__xludf.DUMMYFUNCTION("""COMPUTED_VALUE"""),"http://www.uesc.br/editora/livrosdigitais_20140513/nocao_social_territorio.pdf")</f>
        <v>http://www.uesc.br/editora/livrosdigitais_20140513/nocao_social_territorio.pdf</v>
      </c>
      <c r="I645" s="24" t="str">
        <f>IFERROR(__xludf.DUMMYFUNCTION("""COMPUTED_VALUE"""),"Ciências Humanas")</f>
        <v>Ciências Humanas</v>
      </c>
    </row>
    <row r="646">
      <c r="A646" s="24" t="str">
        <f>IFERROR(__xludf.DUMMYFUNCTION("""COMPUTED_VALUE"""),"Nós, professores: experiências do PIBID na UNESC vol. II")</f>
        <v>Nós, professores: experiências do PIBID na UNESC vol. II</v>
      </c>
      <c r="B646" s="24" t="str">
        <f>IFERROR(__xludf.DUMMYFUNCTION("""COMPUTED_VALUE"""),"Schlickmann, Carlos Arcângelo; Azeredo, Jéferson Luís de; Feldhaus, Marcelo; Carvalho, Richarles Souza de")</f>
        <v>Schlickmann, Carlos Arcângelo; Azeredo, Jéferson Luís de; Feldhaus, Marcelo; Carvalho, Richarles Souza de</v>
      </c>
      <c r="C646" s="24" t="str">
        <f>IFERROR(__xludf.DUMMYFUNCTION("""COMPUTED_VALUE"""),"Criciúma")</f>
        <v>Criciúma</v>
      </c>
      <c r="D646" s="24" t="str">
        <f>IFERROR(__xludf.DUMMYFUNCTION("""COMPUTED_VALUE"""),"EDIUNESC")</f>
        <v>EDIUNESC</v>
      </c>
      <c r="E646" s="25">
        <f>IFERROR(__xludf.DUMMYFUNCTION("""COMPUTED_VALUE"""),2018.0)</f>
        <v>2018</v>
      </c>
      <c r="F646" s="24" t="str">
        <f>IFERROR(__xludf.DUMMYFUNCTION("""COMPUTED_VALUE"""),"Professores - Formação; Educadores; Prática educativa; Prática de ensino")</f>
        <v>Professores - Formação; Educadores; Prática educativa; Prática de ensino</v>
      </c>
      <c r="G646" s="28" t="str">
        <f>IFERROR(__xludf.DUMMYFUNCTION("""COMPUTED_VALUE"""),"9788584100910")</f>
        <v>9788584100910</v>
      </c>
      <c r="H646" s="29" t="str">
        <f>IFERROR(__xludf.DUMMYFUNCTION("""COMPUTED_VALUE"""),"http://repositorio.unesc.net/handle/1/5959")</f>
        <v>http://repositorio.unesc.net/handle/1/5959</v>
      </c>
      <c r="I646" s="24" t="str">
        <f>IFERROR(__xludf.DUMMYFUNCTION("""COMPUTED_VALUE"""),"Ciências Humanas")</f>
        <v>Ciências Humanas</v>
      </c>
    </row>
    <row r="647">
      <c r="A647" s="24" t="str">
        <f>IFERROR(__xludf.DUMMYFUNCTION("""COMPUTED_VALUE"""),"Nossa gente, nossa história: o Ceará republicano")</f>
        <v>Nossa gente, nossa história: o Ceará republicano</v>
      </c>
      <c r="B647" s="24" t="str">
        <f>IFERROR(__xludf.DUMMYFUNCTION("""COMPUTED_VALUE"""),"Carlos Augusto Pereira dos Santos")</f>
        <v>Carlos Augusto Pereira dos Santos</v>
      </c>
      <c r="C647" s="24" t="str">
        <f>IFERROR(__xludf.DUMMYFUNCTION("""COMPUTED_VALUE"""),"Sobral")</f>
        <v>Sobral</v>
      </c>
      <c r="D647" s="24" t="str">
        <f>IFERROR(__xludf.DUMMYFUNCTION("""COMPUTED_VALUE"""),"Edições UVA")</f>
        <v>Edições UVA</v>
      </c>
      <c r="E647" s="25">
        <f>IFERROR(__xludf.DUMMYFUNCTION("""COMPUTED_VALUE"""),2019.0)</f>
        <v>2019</v>
      </c>
      <c r="F647" s="24" t="str">
        <f>IFERROR(__xludf.DUMMYFUNCTION("""COMPUTED_VALUE"""),"Sertão, Educação, Cultura")</f>
        <v>Sertão, Educação, Cultura</v>
      </c>
      <c r="G647" s="28" t="str">
        <f>IFERROR(__xludf.DUMMYFUNCTION("""COMPUTED_VALUE"""),"9788595390355")</f>
        <v>9788595390355</v>
      </c>
      <c r="H647" s="29" t="str">
        <f>IFERROR(__xludf.DUMMYFUNCTION("""COMPUTED_VALUE"""),"http://www.uvanet.br/edicoes_uva/gera_xml.php?arquivo=nossa_gente_nossa_historia")</f>
        <v>http://www.uvanet.br/edicoes_uva/gera_xml.php?arquivo=nossa_gente_nossa_historia</v>
      </c>
      <c r="I647" s="24" t="str">
        <f>IFERROR(__xludf.DUMMYFUNCTION("""COMPUTED_VALUE"""),"Ciências Humanas")</f>
        <v>Ciências Humanas</v>
      </c>
    </row>
    <row r="648">
      <c r="A648" s="24" t="str">
        <f>IFERROR(__xludf.DUMMYFUNCTION("""COMPUTED_VALUE"""),"Nossa rotina mudou: um guia para tempos de distanciamento")</f>
        <v>Nossa rotina mudou: um guia para tempos de distanciamento</v>
      </c>
      <c r="B648" s="24" t="str">
        <f>IFERROR(__xludf.DUMMYFUNCTION("""COMPUTED_VALUE"""),"Tomasi, Cristiane Damiani; Soratto, Jacks; Ceretta, Luciane Bisognin")</f>
        <v>Tomasi, Cristiane Damiani; Soratto, Jacks; Ceretta, Luciane Bisognin</v>
      </c>
      <c r="C648" s="24" t="str">
        <f>IFERROR(__xludf.DUMMYFUNCTION("""COMPUTED_VALUE"""),"Criciúma")</f>
        <v>Criciúma</v>
      </c>
      <c r="D648" s="24" t="str">
        <f>IFERROR(__xludf.DUMMYFUNCTION("""COMPUTED_VALUE"""),"Unesc")</f>
        <v>Unesc</v>
      </c>
      <c r="E648" s="25">
        <f>IFERROR(__xludf.DUMMYFUNCTION("""COMPUTED_VALUE"""),2020.0)</f>
        <v>2020</v>
      </c>
      <c r="F648" s="24" t="str">
        <f>IFERROR(__xludf.DUMMYFUNCTION("""COMPUTED_VALUE"""),"Distância social – Manuais, guias, etc.; Isolamento social; Infecções por coronavirus; Autoconhecimento; Brincadeiras; Saúde física; Saúde mental; Alimentação; Acolhimento; Relações humanas; Administração do tempo; Trabalho em casa")</f>
        <v>Distância social – Manuais, guias, etc.; Isolamento social; Infecções por coronavirus; Autoconhecimento; Brincadeiras; Saúde física; Saúde mental; Alimentação; Acolhimento; Relações humanas; Administração do tempo; Trabalho em casa</v>
      </c>
      <c r="G648" s="28" t="str">
        <f>IFERROR(__xludf.DUMMYFUNCTION("""COMPUTED_VALUE"""),"9786587458038")</f>
        <v>9786587458038</v>
      </c>
      <c r="H648" s="29" t="str">
        <f>IFERROR(__xludf.DUMMYFUNCTION("""COMPUTED_VALUE"""),"http://dx.doi.org/10.18616/nrm")</f>
        <v>http://dx.doi.org/10.18616/nrm</v>
      </c>
      <c r="I648" s="24" t="str">
        <f>IFERROR(__xludf.DUMMYFUNCTION("""COMPUTED_VALUE"""),"Ciências Humanas")</f>
        <v>Ciências Humanas</v>
      </c>
    </row>
    <row r="649">
      <c r="A649" s="24" t="str">
        <f>IFERROR(__xludf.DUMMYFUNCTION("""COMPUTED_VALUE"""),"Notas de aula: dialogando sobre práticas de aprendizagens na escola e na universidade")</f>
        <v>Notas de aula: dialogando sobre práticas de aprendizagens na escola e na universidade</v>
      </c>
      <c r="B649" s="24" t="str">
        <f>IFERROR(__xludf.DUMMYFUNCTION("""COMPUTED_VALUE"""),"Antonia Dalva França-Carvalho, Armstrong Miranda Evangelista, Josélia Maria da Silva Farias, Lúcia Helena Bezerra Ferreira, (in memoriam), Maria de Fátima Uchôa de Castro Macedo, Rogério Nora Lima, Vilmar Aires dos Santos (org.)")</f>
        <v>Antonia Dalva França-Carvalho, Armstrong Miranda Evangelista, Josélia Maria da Silva Farias, Lúcia Helena Bezerra Ferreira, (in memoriam), Maria de Fátima Uchôa de Castro Macedo, Rogério Nora Lima, Vilmar Aires dos Santos (org.)</v>
      </c>
      <c r="C649" s="24" t="str">
        <f>IFERROR(__xludf.DUMMYFUNCTION("""COMPUTED_VALUE"""),"Teresina")</f>
        <v>Teresina</v>
      </c>
      <c r="D649" s="24" t="str">
        <f>IFERROR(__xludf.DUMMYFUNCTION("""COMPUTED_VALUE"""),"EDUFPI")</f>
        <v>EDUFPI</v>
      </c>
      <c r="E649" s="25">
        <f>IFERROR(__xludf.DUMMYFUNCTION("""COMPUTED_VALUE"""),2018.0)</f>
        <v>2018</v>
      </c>
      <c r="F649" s="24" t="str">
        <f>IFERROR(__xludf.DUMMYFUNCTION("""COMPUTED_VALUE"""),"Prática Pedagógica; Aula; Aprendizagem; Escola; Universidade")</f>
        <v>Prática Pedagógica; Aula; Aprendizagem; Escola; Universidade</v>
      </c>
      <c r="G649" s="28" t="str">
        <f>IFERROR(__xludf.DUMMYFUNCTION("""COMPUTED_VALUE"""),"9788550903101")</f>
        <v>9788550903101</v>
      </c>
      <c r="H649" s="29" t="str">
        <f>IFERROR(__xludf.DUMMYFUNCTION("""COMPUTED_VALUE"""),"https://www.ufpi.br/arquivos_download/arquivos/EDUFPI/NOTAS_DE_AULA_DIALOGO_SOBREPRATICAS_DE_APRENDIZAGENS_NA_ECOLA_E_NA_UNIVERSIDADE_-_E-BOOK20180430074129.pdf")</f>
        <v>https://www.ufpi.br/arquivos_download/arquivos/EDUFPI/NOTAS_DE_AULA_DIALOGO_SOBREPRATICAS_DE_APRENDIZAGENS_NA_ECOLA_E_NA_UNIVERSIDADE_-_E-BOOK20180430074129.pdf</v>
      </c>
      <c r="I649" s="24" t="str">
        <f>IFERROR(__xludf.DUMMYFUNCTION("""COMPUTED_VALUE"""),"Ciências Humanas")</f>
        <v>Ciências Humanas</v>
      </c>
    </row>
    <row r="650">
      <c r="A650" s="24" t="str">
        <f>IFERROR(__xludf.DUMMYFUNCTION("""COMPUTED_VALUE"""),"Notas teórico-metodológicas de Pesquisas em Educação: concepções e trajetórias ")</f>
        <v>Notas teórico-metodológicas de Pesquisas em Educação: concepções e trajetórias </v>
      </c>
      <c r="B650" s="24" t="str">
        <f>IFERROR(__xludf.DUMMYFUNCTION("""COMPUTED_VALUE"""),"Leila Pio Mororó, Maria Elizabete Souza Couto, Raimunda Alves Moreira de Assis")</f>
        <v>Leila Pio Mororó, Maria Elizabete Souza Couto, Raimunda Alves Moreira de Assis</v>
      </c>
      <c r="C650" s="24" t="str">
        <f>IFERROR(__xludf.DUMMYFUNCTION("""COMPUTED_VALUE"""),"Ilhéus, BA")</f>
        <v>Ilhéus, BA</v>
      </c>
      <c r="D650" s="24" t="str">
        <f>IFERROR(__xludf.DUMMYFUNCTION("""COMPUTED_VALUE"""),"Editus")</f>
        <v>Editus</v>
      </c>
      <c r="E650" s="25">
        <f>IFERROR(__xludf.DUMMYFUNCTION("""COMPUTED_VALUE"""),2017.0)</f>
        <v>2017</v>
      </c>
      <c r="F650" s="24" t="str">
        <f>IFERROR(__xludf.DUMMYFUNCTION("""COMPUTED_VALUE"""),"Pesquisa educacional; Professores - Formação")</f>
        <v>Pesquisa educacional; Professores - Formação</v>
      </c>
      <c r="G650" s="28" t="str">
        <f>IFERROR(__xludf.DUMMYFUNCTION("""COMPUTED_VALUE"""),"9788574554617")</f>
        <v>9788574554617</v>
      </c>
      <c r="H650" s="29" t="str">
        <f>IFERROR(__xludf.DUMMYFUNCTION("""COMPUTED_VALUE"""),"http://www.uesc.br/editora/livrosdigitais2018/notas_teorico_metodologicas.pdf")</f>
        <v>http://www.uesc.br/editora/livrosdigitais2018/notas_teorico_metodologicas.pdf</v>
      </c>
      <c r="I650" s="24" t="str">
        <f>IFERROR(__xludf.DUMMYFUNCTION("""COMPUTED_VALUE"""),"Ciências Humanas")</f>
        <v>Ciências Humanas</v>
      </c>
    </row>
    <row r="651">
      <c r="A651" s="24" t="str">
        <f>IFERROR(__xludf.DUMMYFUNCTION("""COMPUTED_VALUE"""),"NUBE: histórico, desafios e possibilidades – 1ª Edição")</f>
        <v>NUBE: histórico, desafios e possibilidades – 1ª Edição</v>
      </c>
      <c r="B651" s="24" t="str">
        <f>IFERROR(__xludf.DUMMYFUNCTION("""COMPUTED_VALUE"""),"Chris Royes Schardosim")</f>
        <v>Chris Royes Schardosim</v>
      </c>
      <c r="C651" s="24" t="str">
        <f>IFERROR(__xludf.DUMMYFUNCTION("""COMPUTED_VALUE"""),"Blumenau")</f>
        <v>Blumenau</v>
      </c>
      <c r="D651" s="24" t="str">
        <f>IFERROR(__xludf.DUMMYFUNCTION("""COMPUTED_VALUE"""),"Instituto Federal Catarinense")</f>
        <v>Instituto Federal Catarinense</v>
      </c>
      <c r="E651" s="25">
        <f>IFERROR(__xludf.DUMMYFUNCTION("""COMPUTED_VALUE"""),2016.0)</f>
        <v>2016</v>
      </c>
      <c r="F651" s="24" t="str">
        <f>IFERROR(__xludf.DUMMYFUNCTION("""COMPUTED_VALUE"""),"Espanhol – Estudo e Ensino. Tecnologia educacional")</f>
        <v>Espanhol – Estudo e Ensino. Tecnologia educacional</v>
      </c>
      <c r="G651" s="28" t="str">
        <f>IFERROR(__xludf.DUMMYFUNCTION("""COMPUTED_VALUE"""),"9788556440082")</f>
        <v>9788556440082</v>
      </c>
      <c r="H651" s="29" t="str">
        <f>IFERROR(__xludf.DUMMYFUNCTION("""COMPUTED_VALUE"""),"https://editora.ifc.edu.br/2017/03/20/nube-historico-desafios-e-possibilidades-1a-edicao/")</f>
        <v>https://editora.ifc.edu.br/2017/03/20/nube-historico-desafios-e-possibilidades-1a-edicao/</v>
      </c>
      <c r="I651" s="24" t="str">
        <f>IFERROR(__xludf.DUMMYFUNCTION("""COMPUTED_VALUE"""),"Ciências Humanas")</f>
        <v>Ciências Humanas</v>
      </c>
    </row>
    <row r="652">
      <c r="A652" s="24" t="str">
        <f>IFERROR(__xludf.DUMMYFUNCTION("""COMPUTED_VALUE"""),"O acontecimento do amor - ensaio para a recolocação da essência do amor humano")</f>
        <v>O acontecimento do amor - ensaio para a recolocação da essência do amor humano</v>
      </c>
      <c r="B652" s="24" t="str">
        <f>IFERROR(__xludf.DUMMYFUNCTION("""COMPUTED_VALUE"""),"Dax Moraes; ")</f>
        <v>Dax Moraes; </v>
      </c>
      <c r="C652" s="24" t="str">
        <f>IFERROR(__xludf.DUMMYFUNCTION("""COMPUTED_VALUE"""),"Porto Alegre")</f>
        <v>Porto Alegre</v>
      </c>
      <c r="D652" s="24" t="str">
        <f>IFERROR(__xludf.DUMMYFUNCTION("""COMPUTED_VALUE"""),"UFCSPA ")</f>
        <v>UFCSPA </v>
      </c>
      <c r="E652" s="25">
        <f>IFERROR(__xludf.DUMMYFUNCTION("""COMPUTED_VALUE"""),2020.0)</f>
        <v>2020</v>
      </c>
      <c r="F652" s="24" t="str">
        <f>IFERROR(__xludf.DUMMYFUNCTION("""COMPUTED_VALUE"""),"Amor Filosofia")</f>
        <v>Amor Filosofia</v>
      </c>
      <c r="G652" s="28" t="str">
        <f>IFERROR(__xludf.DUMMYFUNCTION("""COMPUTED_VALUE"""),"9788592652197")</f>
        <v>9788592652197</v>
      </c>
      <c r="H652" s="29" t="str">
        <f>IFERROR(__xludf.DUMMYFUNCTION("""COMPUTED_VALUE"""),"https://www.ufcspa.edu.br/editora_log/download.php?cod=012&amp;tipo=pdf")</f>
        <v>https://www.ufcspa.edu.br/editora_log/download.php?cod=012&amp;tipo=pdf</v>
      </c>
      <c r="I652" s="24" t="str">
        <f>IFERROR(__xludf.DUMMYFUNCTION("""COMPUTED_VALUE"""),"Ciências Humanas")</f>
        <v>Ciências Humanas</v>
      </c>
    </row>
    <row r="653">
      <c r="A653" s="24" t="str">
        <f>IFERROR(__xludf.DUMMYFUNCTION("""COMPUTED_VALUE"""),"O álbum de objetos decorativos")</f>
        <v>O álbum de objetos decorativos</v>
      </c>
      <c r="B653" s="24" t="str">
        <f>IFERROR(__xludf.DUMMYFUNCTION("""COMPUTED_VALUE"""),"Cláudia Barbosa Reis")</f>
        <v>Cláudia Barbosa Reis</v>
      </c>
      <c r="C653" s="24" t="str">
        <f>IFERROR(__xludf.DUMMYFUNCTION("""COMPUTED_VALUE"""),"Rio de Janeiro")</f>
        <v>Rio de Janeiro</v>
      </c>
      <c r="D653" s="24" t="str">
        <f>IFERROR(__xludf.DUMMYFUNCTION("""COMPUTED_VALUE"""),"Fundação Casa de Rui Barbosa")</f>
        <v>Fundação Casa de Rui Barbosa</v>
      </c>
      <c r="E653" s="25">
        <f>IFERROR(__xludf.DUMMYFUNCTION("""COMPUTED_VALUE"""),1997.0)</f>
        <v>1997</v>
      </c>
      <c r="F653" s="24" t="str">
        <f>IFERROR(__xludf.DUMMYFUNCTION("""COMPUTED_VALUE"""),"Museu Casa de Rui Barbosa - Acervo. Fundação Casa de Rui Barbosa")</f>
        <v>Museu Casa de Rui Barbosa - Acervo. Fundação Casa de Rui Barbosa</v>
      </c>
      <c r="G653" s="28" t="str">
        <f>IFERROR(__xludf.DUMMYFUNCTION("""COMPUTED_VALUE"""),"857004190x ")</f>
        <v>857004190x </v>
      </c>
      <c r="H653" s="29" t="str">
        <f>IFERROR(__xludf.DUMMYFUNCTION("""COMPUTED_VALUE"""),"http://www.casaruibarbosa.gov.br/arquivos/file/album%20de%20objetos%20decorativos%20OCR.pdf")</f>
        <v>http://www.casaruibarbosa.gov.br/arquivos/file/album%20de%20objetos%20decorativos%20OCR.pdf</v>
      </c>
      <c r="I653" s="24" t="str">
        <f>IFERROR(__xludf.DUMMYFUNCTION("""COMPUTED_VALUE"""),"Ciências Humanas")</f>
        <v>Ciências Humanas</v>
      </c>
    </row>
    <row r="654">
      <c r="A654" s="24" t="str">
        <f>IFERROR(__xludf.DUMMYFUNCTION("""COMPUTED_VALUE"""),"O binóculo e a pena: a construção da identidade mato-grossense sob a ótica virgiliana: 1920-1940. ")</f>
        <v>O binóculo e a pena: a construção da identidade mato-grossense sob a ótica virgiliana: 1920-1940. </v>
      </c>
      <c r="B654" s="24" t="str">
        <f>IFERROR(__xludf.DUMMYFUNCTION("""COMPUTED_VALUE"""),"Gilmara Yoshihara Franco")</f>
        <v>Gilmara Yoshihara Franco</v>
      </c>
      <c r="C654" s="24" t="str">
        <f>IFERROR(__xludf.DUMMYFUNCTION("""COMPUTED_VALUE"""),"Dourados, MS")</f>
        <v>Dourados, MS</v>
      </c>
      <c r="D654" s="24" t="str">
        <f>IFERROR(__xludf.DUMMYFUNCTION("""COMPUTED_VALUE"""),"Ed. da UFGD")</f>
        <v>Ed. da UFGD</v>
      </c>
      <c r="E654" s="25">
        <f>IFERROR(__xludf.DUMMYFUNCTION("""COMPUTED_VALUE"""),2009.0)</f>
        <v>2009</v>
      </c>
      <c r="F654" s="24" t="str">
        <f>IFERROR(__xludf.DUMMYFUNCTION("""COMPUTED_VALUE"""),"Corrêa Filho, Virgílio, 1887-1973; Mato Grosso – História")</f>
        <v>Corrêa Filho, Virgílio, 1887-1973; Mato Grosso – História</v>
      </c>
      <c r="G654" s="28" t="str">
        <f>IFERROR(__xludf.DUMMYFUNCTION("""COMPUTED_VALUE"""),"9788561228361")</f>
        <v>9788561228361</v>
      </c>
      <c r="H654" s="29" t="str">
        <f>IFERROR(__xludf.DUMMYFUNCTION("""COMPUTED_VALUE"""),"http://omp.ufgd.edu.br/omp/index.php/livrosabertos/catalog/view/151/194/475-1")</f>
        <v>http://omp.ufgd.edu.br/omp/index.php/livrosabertos/catalog/view/151/194/475-1</v>
      </c>
      <c r="I654" s="24" t="str">
        <f>IFERROR(__xludf.DUMMYFUNCTION("""COMPUTED_VALUE"""),"Ciências Humanas")</f>
        <v>Ciências Humanas</v>
      </c>
    </row>
    <row r="655">
      <c r="A655" s="24" t="str">
        <f>IFERROR(__xludf.DUMMYFUNCTION("""COMPUTED_VALUE"""),"O calçadão da Cardoso Vieira, seus personagens e sujeitos urbanos: uma leitura dos usos e apropriação do espaço público em Campina Grande (PB)")</f>
        <v>O calçadão da Cardoso Vieira, seus personagens e sujeitos urbanos: uma leitura dos usos e apropriação do espaço público em Campina Grande (PB)</v>
      </c>
      <c r="B655" s="24" t="str">
        <f>IFERROR(__xludf.DUMMYFUNCTION("""COMPUTED_VALUE"""),"Maria Jackeline Feitosa Carvalho; Patrícia Daniely Marques Cavalcante Santos")</f>
        <v>Maria Jackeline Feitosa Carvalho; Patrícia Daniely Marques Cavalcante Santos</v>
      </c>
      <c r="C655" s="24" t="str">
        <f>IFERROR(__xludf.DUMMYFUNCTION("""COMPUTED_VALUE"""),"Campina Grande")</f>
        <v>Campina Grande</v>
      </c>
      <c r="D655" s="24" t="str">
        <f>IFERROR(__xludf.DUMMYFUNCTION("""COMPUTED_VALUE"""),"EDUEPB")</f>
        <v>EDUEPB</v>
      </c>
      <c r="E655" s="25">
        <f>IFERROR(__xludf.DUMMYFUNCTION("""COMPUTED_VALUE"""),2018.0)</f>
        <v>2018</v>
      </c>
      <c r="F655" s="24" t="str">
        <f>IFERROR(__xludf.DUMMYFUNCTION("""COMPUTED_VALUE"""),"História. Campina Grande/PB. Espaço público")</f>
        <v>História. Campina Grande/PB. Espaço público</v>
      </c>
      <c r="G655" s="28" t="str">
        <f>IFERROR(__xludf.DUMMYFUNCTION("""COMPUTED_VALUE"""),"9788578794835")</f>
        <v>9788578794835</v>
      </c>
      <c r="H655" s="29" t="str">
        <f>IFERROR(__xludf.DUMMYFUNCTION("""COMPUTED_VALUE"""),"http://eduepb.uepb.edu.br/download/o-calcadao-da-cardoso-vieira-seus-personagens-e-sujeitos-urbanos-uma-leitura-dos-usos-e-apropriacao-do-espaco-publico-em-campina-grande-pb/?wpdmdl=351&amp;amp;masterkey=5b02c5608839e")</f>
        <v>http://eduepb.uepb.edu.br/download/o-calcadao-da-cardoso-vieira-seus-personagens-e-sujeitos-urbanos-uma-leitura-dos-usos-e-apropriacao-do-espaco-publico-em-campina-grande-pb/?wpdmdl=351&amp;amp;masterkey=5b02c5608839e</v>
      </c>
      <c r="I655" s="24" t="str">
        <f>IFERROR(__xludf.DUMMYFUNCTION("""COMPUTED_VALUE"""),"Ciências Humanas")</f>
        <v>Ciências Humanas</v>
      </c>
    </row>
    <row r="656">
      <c r="A656" s="24" t="str">
        <f>IFERROR(__xludf.DUMMYFUNCTION("""COMPUTED_VALUE"""),"O centro da cidade de Itabuna: trajetória, signos e significados ")</f>
        <v>O centro da cidade de Itabuna: trajetória, signos e significados </v>
      </c>
      <c r="B656" s="24" t="str">
        <f>IFERROR(__xludf.DUMMYFUNCTION("""COMPUTED_VALUE"""),"Lurdes Bertol Rocha")</f>
        <v>Lurdes Bertol Rocha</v>
      </c>
      <c r="C656" s="24" t="str">
        <f>IFERROR(__xludf.DUMMYFUNCTION("""COMPUTED_VALUE"""),"Ilhéus, BA")</f>
        <v>Ilhéus, BA</v>
      </c>
      <c r="D656" s="24" t="str">
        <f>IFERROR(__xludf.DUMMYFUNCTION("""COMPUTED_VALUE"""),"Editus")</f>
        <v>Editus</v>
      </c>
      <c r="E656" s="25">
        <f>IFERROR(__xludf.DUMMYFUNCTION("""COMPUTED_VALUE"""),2003.0)</f>
        <v>2003</v>
      </c>
      <c r="F656" s="24" t="str">
        <f>IFERROR(__xludf.DUMMYFUNCTION("""COMPUTED_VALUE"""),"Geografia urbana - Itabuna (Ba); Itabuna (Ba) - Descrições; Espaços urbanos; - Aspectos sociais")</f>
        <v>Geografia urbana - Itabuna (Ba); Itabuna (Ba) - Descrições; Espaços urbanos; - Aspectos sociais</v>
      </c>
      <c r="G656" s="28" t="str">
        <f>IFERROR(__xludf.DUMMYFUNCTION("""COMPUTED_VALUE"""),"8574550590")</f>
        <v>8574550590</v>
      </c>
      <c r="H656" s="29" t="str">
        <f>IFERROR(__xludf.DUMMYFUNCTION("""COMPUTED_VALUE"""),"http://www.uesc.br/editora/livrosdigitais2015/o_centro_da_cidade.pdf")</f>
        <v>http://www.uesc.br/editora/livrosdigitais2015/o_centro_da_cidade.pdf</v>
      </c>
      <c r="I656" s="24" t="str">
        <f>IFERROR(__xludf.DUMMYFUNCTION("""COMPUTED_VALUE"""),"Ciências Humanas")</f>
        <v>Ciências Humanas</v>
      </c>
    </row>
    <row r="657">
      <c r="A657" s="24" t="str">
        <f>IFERROR(__xludf.DUMMYFUNCTION("""COMPUTED_VALUE"""),"O Conceito de Bildung em Hegel")</f>
        <v>O Conceito de Bildung em Hegel</v>
      </c>
      <c r="B657" s="24" t="str">
        <f>IFERROR(__xludf.DUMMYFUNCTION("""COMPUTED_VALUE"""),"Marcos Fábio Alexandre Nicolau")</f>
        <v>Marcos Fábio Alexandre Nicolau</v>
      </c>
      <c r="C657" s="24" t="str">
        <f>IFERROR(__xludf.DUMMYFUNCTION("""COMPUTED_VALUE"""),"Sobral")</f>
        <v>Sobral</v>
      </c>
      <c r="D657" s="24" t="str">
        <f>IFERROR(__xludf.DUMMYFUNCTION("""COMPUTED_VALUE"""),"Edições UVA")</f>
        <v>Edições UVA</v>
      </c>
      <c r="E657" s="25">
        <f>IFERROR(__xludf.DUMMYFUNCTION("""COMPUTED_VALUE"""),2019.0)</f>
        <v>2019</v>
      </c>
      <c r="F657" s="24" t="str">
        <f>IFERROR(__xludf.DUMMYFUNCTION("""COMPUTED_VALUE"""),"Bildung, Hegel, Filosofia, Estética")</f>
        <v>Bildung, Hegel, Filosofia, Estética</v>
      </c>
      <c r="G657" s="28" t="str">
        <f>IFERROR(__xludf.DUMMYFUNCTION("""COMPUTED_VALUE"""),"9788595390348")</f>
        <v>9788595390348</v>
      </c>
      <c r="H657" s="29" t="str">
        <f>IFERROR(__xludf.DUMMYFUNCTION("""COMPUTED_VALUE"""),"http://www.uvanet.br/edicoes_uva/gera_xml.php?arquivo=conceito_bildung")</f>
        <v>http://www.uvanet.br/edicoes_uva/gera_xml.php?arquivo=conceito_bildung</v>
      </c>
      <c r="I657" s="24" t="str">
        <f>IFERROR(__xludf.DUMMYFUNCTION("""COMPUTED_VALUE"""),"Ciências Humanas")</f>
        <v>Ciências Humanas</v>
      </c>
    </row>
    <row r="658">
      <c r="A658" s="24" t="str">
        <f>IFERROR(__xludf.DUMMYFUNCTION("""COMPUTED_VALUE"""),"O cotidiano dos trabalhadores de Buenos Aires (1880-1920) ")</f>
        <v>O cotidiano dos trabalhadores de Buenos Aires (1880-1920) </v>
      </c>
      <c r="B658" s="24" t="str">
        <f>IFERROR(__xludf.DUMMYFUNCTION("""COMPUTED_VALUE"""),"Norberto Osvaldo Ferreras")</f>
        <v>Norberto Osvaldo Ferreras</v>
      </c>
      <c r="C658" s="24" t="str">
        <f>IFERROR(__xludf.DUMMYFUNCTION("""COMPUTED_VALUE"""),"Niterói, RJ")</f>
        <v>Niterói, RJ</v>
      </c>
      <c r="D658" s="24" t="str">
        <f>IFERROR(__xludf.DUMMYFUNCTION("""COMPUTED_VALUE"""),"EdUFF")</f>
        <v>EdUFF</v>
      </c>
      <c r="E658" s="25">
        <f>IFERROR(__xludf.DUMMYFUNCTION("""COMPUTED_VALUE"""),2006.0)</f>
        <v>2006</v>
      </c>
      <c r="F658" s="24" t="str">
        <f>IFERROR(__xludf.DUMMYFUNCTION("""COMPUTED_VALUE"""),"História; Trabalhadores")</f>
        <v>História; Trabalhadores</v>
      </c>
      <c r="G658" s="26"/>
      <c r="H658" s="29" t="str">
        <f>IFERROR(__xludf.DUMMYFUNCTION("""COMPUTED_VALUE"""),"http://www.eduff.uff.br/ebooks/O-cotidiano-dos-trabalhadores-de-Buenos-Aires-(1880-1920).pdf")</f>
        <v>http://www.eduff.uff.br/ebooks/O-cotidiano-dos-trabalhadores-de-Buenos-Aires-(1880-1920).pdf</v>
      </c>
      <c r="I658" s="24" t="str">
        <f>IFERROR(__xludf.DUMMYFUNCTION("""COMPUTED_VALUE"""),"Ciências Humanas")</f>
        <v>Ciências Humanas</v>
      </c>
    </row>
    <row r="659">
      <c r="A659" s="24" t="str">
        <f>IFERROR(__xludf.DUMMYFUNCTION("""COMPUTED_VALUE"""),"O elo perdido/Maria Schaun. ")</f>
        <v>O elo perdido/Maria Schaun. </v>
      </c>
      <c r="B659" s="24" t="str">
        <f>IFERROR(__xludf.DUMMYFUNCTION("""COMPUTED_VALUE"""),"Maria Schaun")</f>
        <v>Maria Schaun</v>
      </c>
      <c r="C659" s="24" t="str">
        <f>IFERROR(__xludf.DUMMYFUNCTION("""COMPUTED_VALUE"""),"Ilhéus, BA")</f>
        <v>Ilhéus, BA</v>
      </c>
      <c r="D659" s="24" t="str">
        <f>IFERROR(__xludf.DUMMYFUNCTION("""COMPUTED_VALUE"""),"Editus")</f>
        <v>Editus</v>
      </c>
      <c r="E659" s="25">
        <f>IFERROR(__xludf.DUMMYFUNCTION("""COMPUTED_VALUE"""),1999.0)</f>
        <v>1999</v>
      </c>
      <c r="F659" s="24" t="str">
        <f>IFERROR(__xludf.DUMMYFUNCTION("""COMPUTED_VALUE"""),"Schaun (Família). 2; Ilhéus, Ba - História")</f>
        <v>Schaun (Família). 2; Ilhéus, Ba - História</v>
      </c>
      <c r="G659" s="28" t="str">
        <f>IFERROR(__xludf.DUMMYFUNCTION("""COMPUTED_VALUE"""),"8574550078")</f>
        <v>8574550078</v>
      </c>
      <c r="H659" s="29" t="str">
        <f>IFERROR(__xludf.DUMMYFUNCTION("""COMPUTED_VALUE"""),"http://www.uesc.br/editora/livrosdigitais_20140513/o_elo_perdido.pdf")</f>
        <v>http://www.uesc.br/editora/livrosdigitais_20140513/o_elo_perdido.pdf</v>
      </c>
      <c r="I659" s="24" t="str">
        <f>IFERROR(__xludf.DUMMYFUNCTION("""COMPUTED_VALUE"""),"Ciências Humanas")</f>
        <v>Ciências Humanas</v>
      </c>
    </row>
    <row r="660">
      <c r="A660" s="24" t="str">
        <f>IFERROR(__xludf.DUMMYFUNCTION("""COMPUTED_VALUE"""),"O Ensino de História da África, da cultura afro-brasileira e indígena: múltiplos olhares")</f>
        <v>O Ensino de História da África, da cultura afro-brasileira e indígena: múltiplos olhares</v>
      </c>
      <c r="B660" s="24" t="str">
        <f>IFERROR(__xludf.DUMMYFUNCTION("""COMPUTED_VALUE"""),"Eulália Maria Aparecida de Moraes; Otávio Ribeiro Chaves; Ricardo Tadeu Caires Silva (org.)")</f>
        <v>Eulália Maria Aparecida de Moraes; Otávio Ribeiro Chaves; Ricardo Tadeu Caires Silva (org.)</v>
      </c>
      <c r="C660" s="24" t="str">
        <f>IFERROR(__xludf.DUMMYFUNCTION("""COMPUTED_VALUE"""),"Cáceres")</f>
        <v>Cáceres</v>
      </c>
      <c r="D660" s="24" t="str">
        <f>IFERROR(__xludf.DUMMYFUNCTION("""COMPUTED_VALUE"""),"UNEMAT")</f>
        <v>UNEMAT</v>
      </c>
      <c r="E660" s="25">
        <f>IFERROR(__xludf.DUMMYFUNCTION("""COMPUTED_VALUE"""),2018.0)</f>
        <v>2018</v>
      </c>
      <c r="F660" s="24" t="str">
        <f>IFERROR(__xludf.DUMMYFUNCTION("""COMPUTED_VALUE"""),"História; Ensino; Afro-brasileira;Indígena")</f>
        <v>História; Ensino; Afro-brasileira;Indígena</v>
      </c>
      <c r="G660" s="28" t="str">
        <f>IFERROR(__xludf.DUMMYFUNCTION("""COMPUTED_VALUE"""),"9788579111969")</f>
        <v>9788579111969</v>
      </c>
      <c r="H660" s="29" t="str">
        <f>IFERROR(__xludf.DUMMYFUNCTION("""COMPUTED_VALUE"""),"http://portal.unemat.br/media/files/Editora/E-book%20-%20%C3%81frica.pdf")</f>
        <v>http://portal.unemat.br/media/files/Editora/E-book%20-%20%C3%81frica.pdf</v>
      </c>
      <c r="I660" s="24" t="str">
        <f>IFERROR(__xludf.DUMMYFUNCTION("""COMPUTED_VALUE"""),"Ciências Humanas")</f>
        <v>Ciências Humanas</v>
      </c>
    </row>
    <row r="661">
      <c r="A661" s="24" t="str">
        <f>IFERROR(__xludf.DUMMYFUNCTION("""COMPUTED_VALUE"""),"O espaço biográfico: perspectivas interdisciplinares")</f>
        <v>O espaço biográfico: perspectivas interdisciplinares</v>
      </c>
      <c r="B661" s="24" t="str">
        <f>IFERROR(__xludf.DUMMYFUNCTION("""COMPUTED_VALUE"""),"Ana Lígia Leite e Aguiar, José Francisco Serafim, Rachel Esteves Lima, Sandra Straccialano Coelho (org.)")</f>
        <v>Ana Lígia Leite e Aguiar, José Francisco Serafim, Rachel Esteves Lima, Sandra Straccialano Coelho (org.)</v>
      </c>
      <c r="C661" s="24" t="str">
        <f>IFERROR(__xludf.DUMMYFUNCTION("""COMPUTED_VALUE"""),"Salvador")</f>
        <v>Salvador</v>
      </c>
      <c r="D661" s="24" t="str">
        <f>IFERROR(__xludf.DUMMYFUNCTION("""COMPUTED_VALUE"""),"EDUFBA")</f>
        <v>EDUFBA</v>
      </c>
      <c r="E661" s="25">
        <f>IFERROR(__xludf.DUMMYFUNCTION("""COMPUTED_VALUE"""),2016.0)</f>
        <v>2016</v>
      </c>
      <c r="F661" s="24" t="str">
        <f>IFERROR(__xludf.DUMMYFUNCTION("""COMPUTED_VALUE"""),"Autobiografia; Biográfos; Escritores; Redes sociais; Comunicação digital")</f>
        <v>Autobiografia; Biográfos; Escritores; Redes sociais; Comunicação digital</v>
      </c>
      <c r="G661" s="28" t="str">
        <f>IFERROR(__xludf.DUMMYFUNCTION("""COMPUTED_VALUE"""),"9788523215293")</f>
        <v>9788523215293</v>
      </c>
      <c r="H661" s="29" t="str">
        <f>IFERROR(__xludf.DUMMYFUNCTION("""COMPUTED_VALUE"""),"http://repositorio.ufba.br/ri/handle/ri/20879")</f>
        <v>http://repositorio.ufba.br/ri/handle/ri/20879</v>
      </c>
      <c r="I661" s="24" t="str">
        <f>IFERROR(__xludf.DUMMYFUNCTION("""COMPUTED_VALUE"""),"Ciências Humanas")</f>
        <v>Ciências Humanas</v>
      </c>
    </row>
    <row r="662">
      <c r="A662" s="24" t="str">
        <f>IFERROR(__xludf.DUMMYFUNCTION("""COMPUTED_VALUE"""),"O espaço e o vento: olhares da migração gaúcha para Mato Groso de quem partiu e de quem ficou")</f>
        <v>O espaço e o vento: olhares da migração gaúcha para Mato Groso de quem partiu e de quem ficou</v>
      </c>
      <c r="B662" s="24" t="str">
        <f>IFERROR(__xludf.DUMMYFUNCTION("""COMPUTED_VALUE"""),"Jones Dari Goettert ")</f>
        <v>Jones Dari Goettert </v>
      </c>
      <c r="C662" s="24" t="str">
        <f>IFERROR(__xludf.DUMMYFUNCTION("""COMPUTED_VALUE"""),"Dourados, MS")</f>
        <v>Dourados, MS</v>
      </c>
      <c r="D662" s="24" t="str">
        <f>IFERROR(__xludf.DUMMYFUNCTION("""COMPUTED_VALUE"""),"Ed. da UFGD")</f>
        <v>Ed. da UFGD</v>
      </c>
      <c r="E662" s="25">
        <f>IFERROR(__xludf.DUMMYFUNCTION("""COMPUTED_VALUE"""),2008.0)</f>
        <v>2008</v>
      </c>
      <c r="F662" s="24" t="str">
        <f>IFERROR(__xludf.DUMMYFUNCTION("""COMPUTED_VALUE"""),"Migração gaúcha; Rondonópolis, MT - História; Geografia humana")</f>
        <v>Migração gaúcha; Rondonópolis, MT - História; Geografia humana</v>
      </c>
      <c r="G662" s="28" t="str">
        <f>IFERROR(__xludf.DUMMYFUNCTION("""COMPUTED_VALUE"""),"9788561228217")</f>
        <v>9788561228217</v>
      </c>
      <c r="H662" s="29" t="str">
        <f>IFERROR(__xludf.DUMMYFUNCTION("""COMPUTED_VALUE"""),"http://omp.ufgd.edu.br/omp/index.php/livrosabertos/catalog/view/153/192/473-1")</f>
        <v>http://omp.ufgd.edu.br/omp/index.php/livrosabertos/catalog/view/153/192/473-1</v>
      </c>
      <c r="I662" s="24" t="str">
        <f>IFERROR(__xludf.DUMMYFUNCTION("""COMPUTED_VALUE"""),"Ciências Humanas")</f>
        <v>Ciências Humanas</v>
      </c>
    </row>
    <row r="663">
      <c r="A663" s="24" t="str">
        <f>IFERROR(__xludf.DUMMYFUNCTION("""COMPUTED_VALUE"""),"O Espaço e os Construtores de Mariana: Séc. XVIII")</f>
        <v>O Espaço e os Construtores de Mariana: Séc. XVIII</v>
      </c>
      <c r="B663" s="24" t="str">
        <f>IFERROR(__xludf.DUMMYFUNCTION("""COMPUTED_VALUE"""),"Carlos Alberto Pereira; Denise Maria Ribeiro Tedeschi; Fabrício Luiz Pereira; Crislayne Gloss Marão Alfagali")</f>
        <v>Carlos Alberto Pereira; Denise Maria Ribeiro Tedeschi; Fabrício Luiz Pereira; Crislayne Gloss Marão Alfagali</v>
      </c>
      <c r="C663" s="24" t="str">
        <f>IFERROR(__xludf.DUMMYFUNCTION("""COMPUTED_VALUE"""),"Ouro Preto")</f>
        <v>Ouro Preto</v>
      </c>
      <c r="D663" s="24" t="str">
        <f>IFERROR(__xludf.DUMMYFUNCTION("""COMPUTED_VALUE"""),"UFOP")</f>
        <v>UFOP</v>
      </c>
      <c r="E663" s="25">
        <f>IFERROR(__xludf.DUMMYFUNCTION("""COMPUTED_VALUE"""),2016.0)</f>
        <v>2016</v>
      </c>
      <c r="F663" s="24" t="str">
        <f>IFERROR(__xludf.DUMMYFUNCTION("""COMPUTED_VALUE"""),"Mariana (MG) - História - Sec. XVIII. Arquitetura colonial - Mariana (MG) - Sec. XVIII.Cantaria - Mariana (MG) - Sec. XVIII")</f>
        <v>Mariana (MG) - História - Sec. XVIII. Arquitetura colonial - Mariana (MG) - Sec. XVIII.Cantaria - Mariana (MG) - Sec. XVIII</v>
      </c>
      <c r="G663" s="28" t="str">
        <f>IFERROR(__xludf.DUMMYFUNCTION("""COMPUTED_VALUE"""),"9788528803495")</f>
        <v>9788528803495</v>
      </c>
      <c r="H663" s="29" t="str">
        <f>IFERROR(__xludf.DUMMYFUNCTION("""COMPUTED_VALUE"""),"https://www.editora.ufop.br/index.php/editora/catalog/view/28/17/60-1")</f>
        <v>https://www.editora.ufop.br/index.php/editora/catalog/view/28/17/60-1</v>
      </c>
      <c r="I663" s="24" t="str">
        <f>IFERROR(__xludf.DUMMYFUNCTION("""COMPUTED_VALUE"""),"Ciências Humanas")</f>
        <v>Ciências Humanas</v>
      </c>
    </row>
    <row r="664">
      <c r="A664" s="24" t="str">
        <f>IFERROR(__xludf.DUMMYFUNCTION("""COMPUTED_VALUE"""),"O espaço urbano em redefi nição: cortes e recortes para aanálise dos entremeios da cidade")</f>
        <v>O espaço urbano em redefi nição: cortes e recortes para aanálise dos entremeios da cidade</v>
      </c>
      <c r="B664" s="24" t="str">
        <f>IFERROR(__xludf.DUMMYFUNCTION("""COMPUTED_VALUE"""),"Maria José Martinelli Silva Calixto (org.)")</f>
        <v>Maria José Martinelli Silva Calixto (org.)</v>
      </c>
      <c r="C664" s="24" t="str">
        <f>IFERROR(__xludf.DUMMYFUNCTION("""COMPUTED_VALUE"""),"Dourados, MS")</f>
        <v>Dourados, MS</v>
      </c>
      <c r="D664" s="24" t="str">
        <f>IFERROR(__xludf.DUMMYFUNCTION("""COMPUTED_VALUE"""),"Editora da UFGD")</f>
        <v>Editora da UFGD</v>
      </c>
      <c r="E664" s="25">
        <f>IFERROR(__xludf.DUMMYFUNCTION("""COMPUTED_VALUE"""),2008.0)</f>
        <v>2008</v>
      </c>
      <c r="F664" s="24" t="str">
        <f>IFERROR(__xludf.DUMMYFUNCTION("""COMPUTED_VALUE"""),"Geografia urbana; Espaço urbano; Dourados, MS")</f>
        <v>Geografia urbana; Espaço urbano; Dourados, MS</v>
      </c>
      <c r="G664" s="28" t="str">
        <f>IFERROR(__xludf.DUMMYFUNCTION("""COMPUTED_VALUE"""),"9788561228279")</f>
        <v>9788561228279</v>
      </c>
      <c r="H664" s="29" t="str">
        <f>IFERROR(__xludf.DUMMYFUNCTION("""COMPUTED_VALUE"""),"http://omp.ufgd.edu.br/omp/index.php/livrosabertos/catalog/view/154/191/472-1")</f>
        <v>http://omp.ufgd.edu.br/omp/index.php/livrosabertos/catalog/view/154/191/472-1</v>
      </c>
      <c r="I664" s="24" t="str">
        <f>IFERROR(__xludf.DUMMYFUNCTION("""COMPUTED_VALUE"""),"Ciências Humanas")</f>
        <v>Ciências Humanas</v>
      </c>
    </row>
    <row r="665">
      <c r="A665" s="24" t="str">
        <f>IFERROR(__xludf.DUMMYFUNCTION("""COMPUTED_VALUE"""),"O esporte na cidade: capítulos de sua história em Vitória")</f>
        <v>O esporte na cidade: capítulos de sua história em Vitória</v>
      </c>
      <c r="B665" s="24" t="str">
        <f>IFERROR(__xludf.DUMMYFUNCTION("""COMPUTED_VALUE"""),"Ivan Marcelo Gomes, Felipe Quintão de Almeida, Ueberson Ribeiro Almeida, Claudia Emília Aguiar Moraes (org.)")</f>
        <v>Ivan Marcelo Gomes, Felipe Quintão de Almeida, Ueberson Ribeiro Almeida, Claudia Emília Aguiar Moraes (org.)</v>
      </c>
      <c r="C665" s="24" t="str">
        <f>IFERROR(__xludf.DUMMYFUNCTION("""COMPUTED_VALUE"""),"Vitória")</f>
        <v>Vitória</v>
      </c>
      <c r="D665" s="24" t="str">
        <f>IFERROR(__xludf.DUMMYFUNCTION("""COMPUTED_VALUE"""),"EDUFES")</f>
        <v>EDUFES</v>
      </c>
      <c r="E665" s="25">
        <f>IFERROR(__xludf.DUMMYFUNCTION("""COMPUTED_VALUE"""),2014.0)</f>
        <v>2014</v>
      </c>
      <c r="F665" s="24" t="str">
        <f>IFERROR(__xludf.DUMMYFUNCTION("""COMPUTED_VALUE"""),"Esportes; Educação física; Remo; História")</f>
        <v>Esportes; Educação física; Remo; História</v>
      </c>
      <c r="G665" s="28" t="str">
        <f>IFERROR(__xludf.DUMMYFUNCTION("""COMPUTED_VALUE"""),"9788577721962")</f>
        <v>9788577721962</v>
      </c>
      <c r="H665" s="29" t="str">
        <f>IFERROR(__xludf.DUMMYFUNCTION("""COMPUTED_VALUE"""),"http://repositorio.ufes.br/bitstream/10/1139/1/Livro%20Edufes%20o%20esporte%20na%20cidade%20cap%C3%ADtulos%20de%20sua%20hist%C3%B3ria%20em%20Vit%C3%B3ria.pdf")</f>
        <v>http://repositorio.ufes.br/bitstream/10/1139/1/Livro%20Edufes%20o%20esporte%20na%20cidade%20cap%C3%ADtulos%20de%20sua%20hist%C3%B3ria%20em%20Vit%C3%B3ria.pdf</v>
      </c>
      <c r="I665" s="24" t="str">
        <f>IFERROR(__xludf.DUMMYFUNCTION("""COMPUTED_VALUE"""),"Ciências Humanas")</f>
        <v>Ciências Humanas</v>
      </c>
    </row>
    <row r="666">
      <c r="A666" s="24" t="str">
        <f>IFERROR(__xludf.DUMMYFUNCTION("""COMPUTED_VALUE"""),"O filosofar, hoje, na pesquisa e no ensino de filosofia")</f>
        <v>O filosofar, hoje, na pesquisa e no ensino de filosofia</v>
      </c>
      <c r="B666" s="24" t="str">
        <f>IFERROR(__xludf.DUMMYFUNCTION("""COMPUTED_VALUE"""),"Jorge Cunha Dutra, Roberto Goto")</f>
        <v>Jorge Cunha Dutra, Roberto Goto</v>
      </c>
      <c r="C666" s="24" t="str">
        <f>IFERROR(__xludf.DUMMYFUNCTION("""COMPUTED_VALUE"""),"Blumenau")</f>
        <v>Blumenau</v>
      </c>
      <c r="D666" s="24" t="str">
        <f>IFERROR(__xludf.DUMMYFUNCTION("""COMPUTED_VALUE"""),"Instituto Federal Catarinense")</f>
        <v>Instituto Federal Catarinense</v>
      </c>
      <c r="E666" s="25">
        <f>IFERROR(__xludf.DUMMYFUNCTION("""COMPUTED_VALUE"""),2018.0)</f>
        <v>2018</v>
      </c>
      <c r="F666" s="24" t="str">
        <f>IFERROR(__xludf.DUMMYFUNCTION("""COMPUTED_VALUE"""),"Filosofia - Estudo e ensino. Filosofia")</f>
        <v>Filosofia - Estudo e ensino. Filosofia</v>
      </c>
      <c r="G666" s="28" t="str">
        <f>IFERROR(__xludf.DUMMYFUNCTION("""COMPUTED_VALUE"""),"9788556440198")</f>
        <v>9788556440198</v>
      </c>
      <c r="H666" s="29" t="str">
        <f>IFERROR(__xludf.DUMMYFUNCTION("""COMPUTED_VALUE"""),"https://editora.ifc.edu.br/2018/07/13/301/")</f>
        <v>https://editora.ifc.edu.br/2018/07/13/301/</v>
      </c>
      <c r="I666" s="24" t="str">
        <f>IFERROR(__xludf.DUMMYFUNCTION("""COMPUTED_VALUE"""),"Ciências Humanas")</f>
        <v>Ciências Humanas</v>
      </c>
    </row>
    <row r="667">
      <c r="A667" s="24" t="str">
        <f>IFERROR(__xludf.DUMMYFUNCTION("""COMPUTED_VALUE"""),"O funk e o hip-hop invadem a cena")</f>
        <v>O funk e o hip-hop invadem a cena</v>
      </c>
      <c r="B667" s="24" t="str">
        <f>IFERROR(__xludf.DUMMYFUNCTION("""COMPUTED_VALUE"""),"Micael Herschmann")</f>
        <v>Micael Herschmann</v>
      </c>
      <c r="C667" s="24" t="str">
        <f>IFERROR(__xludf.DUMMYFUNCTION("""COMPUTED_VALUE"""),"Rio de Janeiro")</f>
        <v>Rio de Janeiro</v>
      </c>
      <c r="D667" s="24" t="str">
        <f>IFERROR(__xludf.DUMMYFUNCTION("""COMPUTED_VALUE"""),"Editora UFRJ")</f>
        <v>Editora UFRJ</v>
      </c>
      <c r="E667" s="25">
        <f>IFERROR(__xludf.DUMMYFUNCTION("""COMPUTED_VALUE"""),2005.0)</f>
        <v>2005</v>
      </c>
      <c r="F667" s="24" t="str">
        <f>IFERROR(__xludf.DUMMYFUNCTION("""COMPUTED_VALUE"""),"Antropologia; Cultura de massa; Funk; Hip-hop")</f>
        <v>Antropologia; Cultura de massa; Funk; Hip-hop</v>
      </c>
      <c r="G667" s="28" t="str">
        <f>IFERROR(__xludf.DUMMYFUNCTION("""COMPUTED_VALUE"""),"857108226X")</f>
        <v>857108226X</v>
      </c>
      <c r="H667" s="29" t="str">
        <f>IFERROR(__xludf.DUMMYFUNCTION("""COMPUTED_VALUE"""),"http://www.editora.ufrj.br/DynamicItems/livrosabertos-1/O-funk-e-o-hip-hop-invadem-a-cena.pdf")</f>
        <v>http://www.editora.ufrj.br/DynamicItems/livrosabertos-1/O-funk-e-o-hip-hop-invadem-a-cena.pdf</v>
      </c>
      <c r="I667" s="24" t="str">
        <f>IFERROR(__xludf.DUMMYFUNCTION("""COMPUTED_VALUE"""),"Ciências Humanas")</f>
        <v>Ciências Humanas</v>
      </c>
    </row>
    <row r="668">
      <c r="A668" s="24" t="str">
        <f>IFERROR(__xludf.DUMMYFUNCTION("""COMPUTED_VALUE"""),"O gestor de relações acadêmicas internacionais no Brasil: práticas, papéis e desafios")</f>
        <v>O gestor de relações acadêmicas internacionais no Brasil: práticas, papéis e desafios</v>
      </c>
      <c r="B668" s="24" t="str">
        <f>IFERROR(__xludf.DUMMYFUNCTION("""COMPUTED_VALUE"""),"Maillard, Nicolas Bruno ")</f>
        <v>Maillard, Nicolas Bruno </v>
      </c>
      <c r="C668" s="24" t="str">
        <f>IFERROR(__xludf.DUMMYFUNCTION("""COMPUTED_VALUE"""),"Porto Alegre")</f>
        <v>Porto Alegre</v>
      </c>
      <c r="D668" s="24" t="str">
        <f>IFERROR(__xludf.DUMMYFUNCTION("""COMPUTED_VALUE"""),"UFRGS")</f>
        <v>UFRGS</v>
      </c>
      <c r="E668" s="25">
        <f>IFERROR(__xludf.DUMMYFUNCTION("""COMPUTED_VALUE"""),2019.0)</f>
        <v>2019</v>
      </c>
      <c r="F668" s="24" t="str">
        <f>IFERROR(__xludf.DUMMYFUNCTION("""COMPUTED_VALUE"""),"Educação superior; Ensino superior; Gestão; Relações internacionais; Universidade")</f>
        <v>Educação superior; Ensino superior; Gestão; Relações internacionais; Universidade</v>
      </c>
      <c r="G668" s="28" t="str">
        <f>IFERROR(__xludf.DUMMYFUNCTION("""COMPUTED_VALUE"""),"9788538604679 (pdf); 9788538604686 (epub)")</f>
        <v>9788538604679 (pdf); 9788538604686 (epub)</v>
      </c>
      <c r="H668" s="29" t="str">
        <f>IFERROR(__xludf.DUMMYFUNCTION("""COMPUTED_VALUE"""),"http://hdl.handle.net/10183/190228")</f>
        <v>http://hdl.handle.net/10183/190228</v>
      </c>
      <c r="I668" s="24" t="str">
        <f>IFERROR(__xludf.DUMMYFUNCTION("""COMPUTED_VALUE"""),"Ciências Humanas")</f>
        <v>Ciências Humanas</v>
      </c>
    </row>
    <row r="669">
      <c r="A669" s="24" t="str">
        <f>IFERROR(__xludf.DUMMYFUNCTION("""COMPUTED_VALUE"""),"O haicai como experimento Retratos do aqui e agora")</f>
        <v>O haicai como experimento Retratos do aqui e agora</v>
      </c>
      <c r="B669" s="24" t="str">
        <f>IFERROR(__xludf.DUMMYFUNCTION("""COMPUTED_VALUE"""),"Kahuana Carolina Leite; Lucas de Sousa Gomes; Luciane Patrícia Yano (org.)")</f>
        <v>Kahuana Carolina Leite; Lucas de Sousa Gomes; Luciane Patrícia Yano (org.)</v>
      </c>
      <c r="C669" s="24" t="str">
        <f>IFERROR(__xludf.DUMMYFUNCTION("""COMPUTED_VALUE"""),"Rio Branco")</f>
        <v>Rio Branco</v>
      </c>
      <c r="D669" s="24" t="str">
        <f>IFERROR(__xludf.DUMMYFUNCTION("""COMPUTED_VALUE"""),"Edufac")</f>
        <v>Edufac</v>
      </c>
      <c r="E669" s="25">
        <f>IFERROR(__xludf.DUMMYFUNCTION("""COMPUTED_VALUE"""),2018.0)</f>
        <v>2018</v>
      </c>
      <c r="F669" s="24" t="str">
        <f>IFERROR(__xludf.DUMMYFUNCTION("""COMPUTED_VALUE"""),"Psicologia; Gestalt-terapia; Haicai; Experimento")</f>
        <v>Psicologia; Gestalt-terapia; Haicai; Experimento</v>
      </c>
      <c r="G669" s="28" t="str">
        <f>IFERROR(__xludf.DUMMYFUNCTION("""COMPUTED_VALUE"""),"9788582360828")</f>
        <v>9788582360828</v>
      </c>
      <c r="H669" s="29" t="str">
        <f>IFERROR(__xludf.DUMMYFUNCTION("""COMPUTED_VALUE"""),"http://www2.ufac.br/editora/livros/retratosdoaquieagora.pdf")</f>
        <v>http://www2.ufac.br/editora/livros/retratosdoaquieagora.pdf</v>
      </c>
      <c r="I669" s="24" t="str">
        <f>IFERROR(__xludf.DUMMYFUNCTION("""COMPUTED_VALUE"""),"Ciências Humanas")</f>
        <v>Ciências Humanas</v>
      </c>
    </row>
    <row r="670">
      <c r="A670" s="24" t="str">
        <f>IFERROR(__xludf.DUMMYFUNCTION("""COMPUTED_VALUE"""),"O IFG no tempo presente: possibilidades e limites no contexto das reconfigurações institucionais (de 1990 a 2015)")</f>
        <v>O IFG no tempo presente: possibilidades e limites no contexto das reconfigurações institucionais (de 1990 a 2015)</v>
      </c>
      <c r="B670" s="24" t="str">
        <f>IFERROR(__xludf.DUMMYFUNCTION("""COMPUTED_VALUE"""),"Organização: Walmir Barbosa, Luciene Lima de Assis Pires, Neville Júlio de Vilasboas e Santos.")</f>
        <v>Organização: Walmir Barbosa, Luciene Lima de Assis Pires, Neville Júlio de Vilasboas e Santos.</v>
      </c>
      <c r="C670" s="24" t="str">
        <f>IFERROR(__xludf.DUMMYFUNCTION("""COMPUTED_VALUE"""),"Goiânia, GO")</f>
        <v>Goiânia, GO</v>
      </c>
      <c r="D670" s="24" t="str">
        <f>IFERROR(__xludf.DUMMYFUNCTION("""COMPUTED_VALUE"""),"Editora IFG")</f>
        <v>Editora IFG</v>
      </c>
      <c r="E670" s="25">
        <f>IFERROR(__xludf.DUMMYFUNCTION("""COMPUTED_VALUE"""),2016.0)</f>
        <v>2016</v>
      </c>
      <c r="F670" s="24" t="str">
        <f>IFERROR(__xludf.DUMMYFUNCTION("""COMPUTED_VALUE"""),"Educação; Educação - profissional – história; Escola técnica federal - reconfiguração institucional; Institutos federais")</f>
        <v>Educação; Educação - profissional – história; Escola técnica federal - reconfiguração institucional; Institutos federais</v>
      </c>
      <c r="G670" s="28" t="str">
        <f>IFERROR(__xludf.DUMMYFUNCTION("""COMPUTED_VALUE"""),"9788567022048")</f>
        <v>9788567022048</v>
      </c>
      <c r="H670" s="29" t="str">
        <f>IFERROR(__xludf.DUMMYFUNCTION("""COMPUTED_VALUE"""),"https://editora.ifg.edu.br/editoraifg/catalog/view/12/11/33-2")</f>
        <v>https://editora.ifg.edu.br/editoraifg/catalog/view/12/11/33-2</v>
      </c>
      <c r="I670" s="24" t="str">
        <f>IFERROR(__xludf.DUMMYFUNCTION("""COMPUTED_VALUE"""),"Ciências Humanas")</f>
        <v>Ciências Humanas</v>
      </c>
    </row>
    <row r="671">
      <c r="A671" s="24" t="str">
        <f>IFERROR(__xludf.DUMMYFUNCTION("""COMPUTED_VALUE"""),"O liberalismo de Ralf Dahrendorf")</f>
        <v>O liberalismo de Ralf Dahrendorf</v>
      </c>
      <c r="B671" s="24" t="str">
        <f>IFERROR(__xludf.DUMMYFUNCTION("""COMPUTED_VALUE"""),"Junior, Antonio Carlos Dias")</f>
        <v>Junior, Antonio Carlos Dias</v>
      </c>
      <c r="C671" s="24" t="str">
        <f>IFERROR(__xludf.DUMMYFUNCTION("""COMPUTED_VALUE"""),"Florianópolis")</f>
        <v>Florianópolis</v>
      </c>
      <c r="D671" s="24" t="str">
        <f>IFERROR(__xludf.DUMMYFUNCTION("""COMPUTED_VALUE"""),"Editora da UFSC")</f>
        <v>Editora da UFSC</v>
      </c>
      <c r="E671" s="25">
        <f>IFERROR(__xludf.DUMMYFUNCTION("""COMPUTED_VALUE"""),2012.0)</f>
        <v>2012</v>
      </c>
      <c r="F671" s="24" t="str">
        <f>IFERROR(__xludf.DUMMYFUNCTION("""COMPUTED_VALUE"""),"Sociologia;Conflito social;Liberalismo")</f>
        <v>Sociologia;Conflito social;Liberalismo</v>
      </c>
      <c r="G671" s="28" t="str">
        <f>IFERROR(__xludf.DUMMYFUNCTION("""COMPUTED_VALUE"""),"9788532805850")</f>
        <v>9788532805850</v>
      </c>
      <c r="H671" s="29" t="str">
        <f>IFERROR(__xludf.DUMMYFUNCTION("""COMPUTED_VALUE"""),"https://repositorio.ufsc.br/handle/123456789/187667")</f>
        <v>https://repositorio.ufsc.br/handle/123456789/187667</v>
      </c>
      <c r="I671" s="24" t="str">
        <f>IFERROR(__xludf.DUMMYFUNCTION("""COMPUTED_VALUE"""),"Ciências Humanas")</f>
        <v>Ciências Humanas</v>
      </c>
    </row>
    <row r="672">
      <c r="A672" s="24" t="str">
        <f>IFERROR(__xludf.DUMMYFUNCTION("""COMPUTED_VALUE"""),"O livro Marcas &amp; Discursos de Gênero: Produções Jornalísticas, Representações Femininas e Outros Olhares,")</f>
        <v>O livro Marcas &amp; Discursos de Gênero: Produções Jornalísticas, Representações Femininas e Outros Olhares,</v>
      </c>
      <c r="B672" s="24" t="str">
        <f>IFERROR(__xludf.DUMMYFUNCTION("""COMPUTED_VALUE"""),"Karina Janz e Paula Rochas")</f>
        <v>Karina Janz e Paula Rochas</v>
      </c>
      <c r="C672" s="24" t="str">
        <f>IFERROR(__xludf.DUMMYFUNCTION("""COMPUTED_VALUE"""),"Ponta Grossa")</f>
        <v>Ponta Grossa</v>
      </c>
      <c r="D672" s="24" t="str">
        <f>IFERROR(__xludf.DUMMYFUNCTION("""COMPUTED_VALUE"""),"Editora UEPG")</f>
        <v>Editora UEPG</v>
      </c>
      <c r="E672" s="25">
        <f>IFERROR(__xludf.DUMMYFUNCTION("""COMPUTED_VALUE"""),2014.0)</f>
        <v>2014</v>
      </c>
      <c r="F672" s="24"/>
      <c r="G672" s="28" t="str">
        <f>IFERROR(__xludf.DUMMYFUNCTION("""COMPUTED_VALUE"""),"9878577981888")</f>
        <v>9878577981888</v>
      </c>
      <c r="H672" s="29" t="str">
        <f>IFERROR(__xludf.DUMMYFUNCTION("""COMPUTED_VALUE"""),"https://portal-archipelagus.azurewebsites.net/farol/eduepg/ebook/marcas-e-discursos-de-genero/34268/")</f>
        <v>https://portal-archipelagus.azurewebsites.net/farol/eduepg/ebook/marcas-e-discursos-de-genero/34268/</v>
      </c>
      <c r="I672" s="24" t="str">
        <f>IFERROR(__xludf.DUMMYFUNCTION("""COMPUTED_VALUE"""),"Ciências Humanas")</f>
        <v>Ciências Humanas</v>
      </c>
    </row>
    <row r="673">
      <c r="A673" s="24" t="str">
        <f>IFERROR(__xludf.DUMMYFUNCTION("""COMPUTED_VALUE"""),"O lugar da história e dos historiadores nas Amazônias. ")</f>
        <v>O lugar da história e dos historiadores nas Amazônias. </v>
      </c>
      <c r="B673" s="24" t="str">
        <f>IFERROR(__xludf.DUMMYFUNCTION("""COMPUTED_VALUE"""),"Veronica Aparecida Silveira Aguiar (org.) ")</f>
        <v>Veronica Aparecida Silveira Aguiar (org.) </v>
      </c>
      <c r="C673" s="24" t="str">
        <f>IFERROR(__xludf.DUMMYFUNCTION("""COMPUTED_VALUE"""),"Macapá")</f>
        <v>Macapá</v>
      </c>
      <c r="D673" s="24" t="str">
        <f>IFERROR(__xludf.DUMMYFUNCTION("""COMPUTED_VALUE"""),"UNIFAP")</f>
        <v>UNIFAP</v>
      </c>
      <c r="E673" s="25">
        <f>IFERROR(__xludf.DUMMYFUNCTION("""COMPUTED_VALUE"""),2018.0)</f>
        <v>2018</v>
      </c>
      <c r="F673" s="24" t="str">
        <f>IFERROR(__xludf.DUMMYFUNCTION("""COMPUTED_VALUE"""),"História; História do Brasil Contemporâneo; Educação")</f>
        <v>História; História do Brasil Contemporâneo; Educação</v>
      </c>
      <c r="G673" s="28" t="str">
        <f>IFERROR(__xludf.DUMMYFUNCTION("""COMPUTED_VALUE"""),"9788554760380")</f>
        <v>9788554760380</v>
      </c>
      <c r="H673" s="29" t="str">
        <f>IFERROR(__xludf.DUMMYFUNCTION("""COMPUTED_VALUE"""),"https://www2.unifap.br/editora/files/2018/11/Livro-O-lugar-da-hist%c3%b3ria-e-dos-historiadores.pdf")</f>
        <v>https://www2.unifap.br/editora/files/2018/11/Livro-O-lugar-da-hist%c3%b3ria-e-dos-historiadores.pdf</v>
      </c>
      <c r="I673" s="24" t="str">
        <f>IFERROR(__xludf.DUMMYFUNCTION("""COMPUTED_VALUE"""),"Ciências Humanas")</f>
        <v>Ciências Humanas</v>
      </c>
    </row>
    <row r="674">
      <c r="A674" s="24" t="str">
        <f>IFERROR(__xludf.DUMMYFUNCTION("""COMPUTED_VALUE"""),"O monge, a irmã e o orto do esposo")</f>
        <v>O monge, a irmã e o orto do esposo</v>
      </c>
      <c r="B674" s="24" t="str">
        <f>IFERROR(__xludf.DUMMYFUNCTION("""COMPUTED_VALUE"""),"Antonio Marcos Gonçalves Pimentel")</f>
        <v>Antonio Marcos Gonçalves Pimentel</v>
      </c>
      <c r="C674" s="24" t="str">
        <f>IFERROR(__xludf.DUMMYFUNCTION("""COMPUTED_VALUE"""),"Niterói, RJ")</f>
        <v>Niterói, RJ</v>
      </c>
      <c r="D674" s="24" t="str">
        <f>IFERROR(__xludf.DUMMYFUNCTION("""COMPUTED_VALUE"""),"EdUFF")</f>
        <v>EdUFF</v>
      </c>
      <c r="E674" s="25">
        <f>IFERROR(__xludf.DUMMYFUNCTION("""COMPUTED_VALUE"""),2009.0)</f>
        <v>2009</v>
      </c>
      <c r="F674" s="24" t="str">
        <f>IFERROR(__xludf.DUMMYFUNCTION("""COMPUTED_VALUE"""),"História e Religiosidade; Crítica; Literatura Portuguesa Medieval")</f>
        <v>História e Religiosidade; Crítica; Literatura Portuguesa Medieval</v>
      </c>
      <c r="G674" s="28" t="str">
        <f>IFERROR(__xludf.DUMMYFUNCTION("""COMPUTED_VALUE"""),"97885228050820")</f>
        <v>97885228050820</v>
      </c>
      <c r="H674" s="29" t="str">
        <f>IFERROR(__xludf.DUMMYFUNCTION("""COMPUTED_VALUE"""),"http://www.eduff.uff.br/ebooks/O-monge-a-irma-e-o-Orto-do-esposo.pdf")</f>
        <v>http://www.eduff.uff.br/ebooks/O-monge-a-irma-e-o-Orto-do-esposo.pdf</v>
      </c>
      <c r="I674" s="24" t="str">
        <f>IFERROR(__xludf.DUMMYFUNCTION("""COMPUTED_VALUE"""),"Ciências Humanas")</f>
        <v>Ciências Humanas</v>
      </c>
    </row>
    <row r="675">
      <c r="A675" s="24" t="str">
        <f>IFERROR(__xludf.DUMMYFUNCTION("""COMPUTED_VALUE"""),"O movimento de 64 na Paraíba")</f>
        <v>O movimento de 64 na Paraíba</v>
      </c>
      <c r="B675" s="24" t="str">
        <f>IFERROR(__xludf.DUMMYFUNCTION("""COMPUTED_VALUE"""),"José Octávio de Arruda Mello; Victor Raul da Rocha Mello (org.)")</f>
        <v>José Octávio de Arruda Mello; Victor Raul da Rocha Mello (org.)</v>
      </c>
      <c r="C675" s="24" t="str">
        <f>IFERROR(__xludf.DUMMYFUNCTION("""COMPUTED_VALUE"""),"Campina Grande")</f>
        <v>Campina Grande</v>
      </c>
      <c r="D675" s="24" t="str">
        <f>IFERROR(__xludf.DUMMYFUNCTION("""COMPUTED_VALUE"""),"EDUEPB")</f>
        <v>EDUEPB</v>
      </c>
      <c r="E675" s="25">
        <f>IFERROR(__xludf.DUMMYFUNCTION("""COMPUTED_VALUE"""),2019.0)</f>
        <v>2019</v>
      </c>
      <c r="F675" s="24" t="str">
        <f>IFERROR(__xludf.DUMMYFUNCTION("""COMPUTED_VALUE"""),"História. Política. Paraíba. 1964. História do Brasil. Ligas Camponesas")</f>
        <v>História. Política. Paraíba. 1964. História do Brasil. Ligas Camponesas</v>
      </c>
      <c r="G675" s="28" t="str">
        <f>IFERROR(__xludf.DUMMYFUNCTION("""COMPUTED_VALUE"""),"9788578795153")</f>
        <v>9788578795153</v>
      </c>
      <c r="H675" s="29" t="str">
        <f>IFERROR(__xludf.DUMMYFUNCTION("""COMPUTED_VALUE"""),"http://eduepb.uepb.edu.br/download/o-movimento-de-64-na-paraiba/?wpdmdl=679&amp;amp;masterkey=5cb49f73c453a")</f>
        <v>http://eduepb.uepb.edu.br/download/o-movimento-de-64-na-paraiba/?wpdmdl=679&amp;amp;masterkey=5cb49f73c453a</v>
      </c>
      <c r="I675" s="24" t="str">
        <f>IFERROR(__xludf.DUMMYFUNCTION("""COMPUTED_VALUE"""),"Ciências Humanas")</f>
        <v>Ciências Humanas</v>
      </c>
    </row>
    <row r="676">
      <c r="A676" s="24" t="str">
        <f>IFERROR(__xludf.DUMMYFUNCTION("""COMPUTED_VALUE"""),"O museu ideal")</f>
        <v>O museu ideal</v>
      </c>
      <c r="B676" s="24" t="str">
        <f>IFERROR(__xludf.DUMMYFUNCTION("""COMPUTED_VALUE"""),"REGINA M . REAL")</f>
        <v>REGINA M . REAL</v>
      </c>
      <c r="C676" s="24" t="str">
        <f>IFERROR(__xludf.DUMMYFUNCTION("""COMPUTED_VALUE"""),"Rio de Janeiro")</f>
        <v>Rio de Janeiro</v>
      </c>
      <c r="D676" s="24" t="str">
        <f>IFERROR(__xludf.DUMMYFUNCTION("""COMPUTED_VALUE"""),"Fundação Casa de Rui Barbosa")</f>
        <v>Fundação Casa de Rui Barbosa</v>
      </c>
      <c r="E676" s="25">
        <f>IFERROR(__xludf.DUMMYFUNCTION("""COMPUTED_VALUE"""),1958.0)</f>
        <v>1958</v>
      </c>
      <c r="F676" s="24" t="str">
        <f>IFERROR(__xludf.DUMMYFUNCTION("""COMPUTED_VALUE"""),"Museus-organização")</f>
        <v>Museus-organização</v>
      </c>
      <c r="G676" s="26"/>
      <c r="H676" s="29" t="str">
        <f>IFERROR(__xludf.DUMMYFUNCTION("""COMPUTED_VALUE"""),"http://www.casaruibarbosa.gov.br/arquivos/file/O%20museu%20ideal%20OCR.pdf")</f>
        <v>http://www.casaruibarbosa.gov.br/arquivos/file/O%20museu%20ideal%20OCR.pdf</v>
      </c>
      <c r="I676" s="24" t="str">
        <f>IFERROR(__xludf.DUMMYFUNCTION("""COMPUTED_VALUE"""),"Ciências Humanas")</f>
        <v>Ciências Humanas</v>
      </c>
    </row>
    <row r="677">
      <c r="A677" s="24" t="str">
        <f>IFERROR(__xludf.DUMMYFUNCTION("""COMPUTED_VALUE"""),"O nível médio de escolarização em questão: história e discursoscontemporâneos.")</f>
        <v>O nível médio de escolarização em questão: história e discursoscontemporâneos.</v>
      </c>
      <c r="B677" s="24" t="str">
        <f>IFERROR(__xludf.DUMMYFUNCTION("""COMPUTED_VALUE"""),"organizado por Rosimeire de LourdesMonteiro Ziliani.")</f>
        <v>organizado por Rosimeire de LourdesMonteiro Ziliani.</v>
      </c>
      <c r="C677" s="24" t="str">
        <f>IFERROR(__xludf.DUMMYFUNCTION("""COMPUTED_VALUE"""),"Dourados, MS")</f>
        <v>Dourados, MS</v>
      </c>
      <c r="D677" s="24" t="str">
        <f>IFERROR(__xludf.DUMMYFUNCTION("""COMPUTED_VALUE"""),"Ed. da UFGD")</f>
        <v>Ed. da UFGD</v>
      </c>
      <c r="E677" s="25">
        <f>IFERROR(__xludf.DUMMYFUNCTION("""COMPUTED_VALUE"""),2016.0)</f>
        <v>2016</v>
      </c>
      <c r="F677" s="24" t="str">
        <f>IFERROR(__xludf.DUMMYFUNCTION("""COMPUTED_VALUE"""),"História; Temas geradores; Inclusão;Profissionalização")</f>
        <v>História; Temas geradores; Inclusão;Profissionalização</v>
      </c>
      <c r="G677" s="28" t="str">
        <f>IFERROR(__xludf.DUMMYFUNCTION("""COMPUTED_VALUE"""),"9788581471273")</f>
        <v>9788581471273</v>
      </c>
      <c r="H677" s="29" t="str">
        <f>IFERROR(__xludf.DUMMYFUNCTION("""COMPUTED_VALUE"""),"http://omp.ufgd.edu.br/omp/index.php/livrosabertos/catalog/view/156/189/470-1")</f>
        <v>http://omp.ufgd.edu.br/omp/index.php/livrosabertos/catalog/view/156/189/470-1</v>
      </c>
      <c r="I677" s="24" t="str">
        <f>IFERROR(__xludf.DUMMYFUNCTION("""COMPUTED_VALUE"""),"Ciências Humanas")</f>
        <v>Ciências Humanas</v>
      </c>
    </row>
    <row r="678">
      <c r="A678" s="24" t="str">
        <f>IFERROR(__xludf.DUMMYFUNCTION("""COMPUTED_VALUE"""),"O Ofício do Professor: Reflexões sobre práticas pedagógicas")</f>
        <v>O Ofício do Professor: Reflexões sobre práticas pedagógicas</v>
      </c>
      <c r="B678" s="24" t="str">
        <f>IFERROR(__xludf.DUMMYFUNCTION("""COMPUTED_VALUE"""),"Elisa Maria Pinheiro de Souza; Marco Antonio da Costa Camelo")</f>
        <v>Elisa Maria Pinheiro de Souza; Marco Antonio da Costa Camelo</v>
      </c>
      <c r="C678" s="24" t="str">
        <f>IFERROR(__xludf.DUMMYFUNCTION("""COMPUTED_VALUE"""),"Belém")</f>
        <v>Belém</v>
      </c>
      <c r="D678" s="24" t="str">
        <f>IFERROR(__xludf.DUMMYFUNCTION("""COMPUTED_VALUE"""),"UEPA")</f>
        <v>UEPA</v>
      </c>
      <c r="E678" s="25">
        <f>IFERROR(__xludf.DUMMYFUNCTION("""COMPUTED_VALUE"""),2017.0)</f>
        <v>2017</v>
      </c>
      <c r="F678" s="24" t="str">
        <f>IFERROR(__xludf.DUMMYFUNCTION("""COMPUTED_VALUE"""),"Prática de ensino; Professores-Formação; Currículo; Educação a distância; Inclusão social; Educação indígena")</f>
        <v>Prática de ensino; Professores-Formação; Currículo; Educação a distância; Inclusão social; Educação indígena</v>
      </c>
      <c r="G678" s="28" t="str">
        <f>IFERROR(__xludf.DUMMYFUNCTION("""COMPUTED_VALUE"""),"9788584580217")</f>
        <v>9788584580217</v>
      </c>
      <c r="H678" s="29" t="str">
        <f>IFERROR(__xludf.DUMMYFUNCTION("""COMPUTED_VALUE"""),"https://paginas.uepa.br/eduepa/wp-content/uploads/2019/06/O-OFICIO-DO-PROFESSOR-20-10-2017.pdf")</f>
        <v>https://paginas.uepa.br/eduepa/wp-content/uploads/2019/06/O-OFICIO-DO-PROFESSOR-20-10-2017.pdf</v>
      </c>
      <c r="I678" s="24" t="str">
        <f>IFERROR(__xludf.DUMMYFUNCTION("""COMPUTED_VALUE"""),"Ciências Humanas")</f>
        <v>Ciências Humanas</v>
      </c>
    </row>
    <row r="679">
      <c r="A679" s="24" t="str">
        <f>IFERROR(__xludf.DUMMYFUNCTION("""COMPUTED_VALUE"""),"O patrimônio ambiental urbano de Corumbá-MS: identidade e preservação.")</f>
        <v>O patrimônio ambiental urbano de Corumbá-MS: identidade e preservação.</v>
      </c>
      <c r="B679" s="24" t="str">
        <f>IFERROR(__xludf.DUMMYFUNCTION("""COMPUTED_VALUE"""),"Joelson Gonçalves Pereira")</f>
        <v>Joelson Gonçalves Pereira</v>
      </c>
      <c r="C679" s="24" t="str">
        <f>IFERROR(__xludf.DUMMYFUNCTION("""COMPUTED_VALUE"""),"Dourados, MS")</f>
        <v>Dourados, MS</v>
      </c>
      <c r="D679" s="24" t="str">
        <f>IFERROR(__xludf.DUMMYFUNCTION("""COMPUTED_VALUE"""),"Ed. da UFGD")</f>
        <v>Ed. da UFGD</v>
      </c>
      <c r="E679" s="25">
        <f>IFERROR(__xludf.DUMMYFUNCTION("""COMPUTED_VALUE"""),2015.0)</f>
        <v>2015</v>
      </c>
      <c r="F679" s="24" t="str">
        <f>IFERROR(__xludf.DUMMYFUNCTION("""COMPUTED_VALUE"""),"Patrimônio ambiental urbano; Corumbá, MS; Identidade")</f>
        <v>Patrimônio ambiental urbano; Corumbá, MS; Identidade</v>
      </c>
      <c r="G679" s="28" t="str">
        <f>IFERROR(__xludf.DUMMYFUNCTION("""COMPUTED_VALUE"""),"9788581470931")</f>
        <v>9788581470931</v>
      </c>
      <c r="H679" s="29" t="str">
        <f>IFERROR(__xludf.DUMMYFUNCTION("""COMPUTED_VALUE"""),"http://omp.ufgd.edu.br/omp/index.php/livrosabertos/catalog/view/157/188/469-1")</f>
        <v>http://omp.ufgd.edu.br/omp/index.php/livrosabertos/catalog/view/157/188/469-1</v>
      </c>
      <c r="I679" s="24" t="str">
        <f>IFERROR(__xludf.DUMMYFUNCTION("""COMPUTED_VALUE"""),"Ciências Humanas")</f>
        <v>Ciências Humanas</v>
      </c>
    </row>
    <row r="680">
      <c r="A680" s="24" t="str">
        <f>IFERROR(__xludf.DUMMYFUNCTION("""COMPUTED_VALUE"""),"O PIBID e o ensino de ciências: possibilidades criativas de aprendizagem")</f>
        <v>O PIBID e o ensino de ciências: possibilidades criativas de aprendizagem</v>
      </c>
      <c r="B680" s="24" t="str">
        <f>IFERROR(__xludf.DUMMYFUNCTION("""COMPUTED_VALUE"""),"Maria Helena Alves; Nailton de Souza Araújo; Elane Marques Rodrigues; Antonia Dalva Franca-Carvalho (org.)")</f>
        <v>Maria Helena Alves; Nailton de Souza Araújo; Elane Marques Rodrigues; Antonia Dalva Franca-Carvalho (org.)</v>
      </c>
      <c r="C680" s="24" t="str">
        <f>IFERROR(__xludf.DUMMYFUNCTION("""COMPUTED_VALUE"""),"Teresina")</f>
        <v>Teresina</v>
      </c>
      <c r="D680" s="24" t="str">
        <f>IFERROR(__xludf.DUMMYFUNCTION("""COMPUTED_VALUE"""),"EDUFPI")</f>
        <v>EDUFPI</v>
      </c>
      <c r="E680" s="25">
        <f>IFERROR(__xludf.DUMMYFUNCTION("""COMPUTED_VALUE"""),2017.0)</f>
        <v>2017</v>
      </c>
      <c r="F680" s="24" t="str">
        <f>IFERROR(__xludf.DUMMYFUNCTION("""COMPUTED_VALUE"""),"Ensino de ciências; Aprendizagem; PIBID; Metodologia")</f>
        <v>Ensino de ciências; Aprendizagem; PIBID; Metodologia</v>
      </c>
      <c r="G680" s="28" t="str">
        <f>IFERROR(__xludf.DUMMYFUNCTION("""COMPUTED_VALUE"""),"9788550902098")</f>
        <v>9788550902098</v>
      </c>
      <c r="H680" s="29" t="str">
        <f>IFERROR(__xludf.DUMMYFUNCTION("""COMPUTED_VALUE"""),"https://www.ufpi.br/arquivos_download/arquivos/EDUFPI/O_Pibid_e_o_Ensino_de_Ciencias.pdf")</f>
        <v>https://www.ufpi.br/arquivos_download/arquivos/EDUFPI/O_Pibid_e_o_Ensino_de_Ciencias.pdf</v>
      </c>
      <c r="I680" s="24" t="str">
        <f>IFERROR(__xludf.DUMMYFUNCTION("""COMPUTED_VALUE"""),"Ciências Humanas")</f>
        <v>Ciências Humanas</v>
      </c>
    </row>
    <row r="681">
      <c r="A681" s="24" t="str">
        <f>IFERROR(__xludf.DUMMYFUNCTION("""COMPUTED_VALUE"""),"O poder nos tempos da peste (Portugal - séculos XIV/XVI) ")</f>
        <v>O poder nos tempos da peste (Portugal - séculos XIV/XVI) </v>
      </c>
      <c r="B681" s="24" t="str">
        <f>IFERROR(__xludf.DUMMYFUNCTION("""COMPUTED_VALUE"""),"Mário Jorge da Motta Bastos ")</f>
        <v>Mário Jorge da Motta Bastos </v>
      </c>
      <c r="C681" s="24" t="str">
        <f>IFERROR(__xludf.DUMMYFUNCTION("""COMPUTED_VALUE"""),"Niterói, RJ")</f>
        <v>Niterói, RJ</v>
      </c>
      <c r="D681" s="24" t="str">
        <f>IFERROR(__xludf.DUMMYFUNCTION("""COMPUTED_VALUE"""),"EdUFF")</f>
        <v>EdUFF</v>
      </c>
      <c r="E681" s="25">
        <f>IFERROR(__xludf.DUMMYFUNCTION("""COMPUTED_VALUE"""),2009.0)</f>
        <v>2009</v>
      </c>
      <c r="F681" s="24" t="str">
        <f>IFERROR(__xludf.DUMMYFUNCTION("""COMPUTED_VALUE"""),"Doença; História ")</f>
        <v>Doença; História </v>
      </c>
      <c r="G681" s="28" t="str">
        <f>IFERROR(__xludf.DUMMYFUNCTION("""COMPUTED_VALUE"""),"978852280522804")</f>
        <v>978852280522804</v>
      </c>
      <c r="H681" s="29" t="str">
        <f>IFERROR(__xludf.DUMMYFUNCTION("""COMPUTED_VALUE"""),"http://www.eduff.uff.br/ebooks/O-poder-nos-tempos-da-peste.pdf")</f>
        <v>http://www.eduff.uff.br/ebooks/O-poder-nos-tempos-da-peste.pdf</v>
      </c>
      <c r="I681" s="24" t="str">
        <f>IFERROR(__xludf.DUMMYFUNCTION("""COMPUTED_VALUE"""),"Ciências Humanas")</f>
        <v>Ciências Humanas</v>
      </c>
    </row>
    <row r="682">
      <c r="A682" s="24" t="str">
        <f>IFERROR(__xludf.DUMMYFUNCTION("""COMPUTED_VALUE"""),"O que se vê nas religiões? Imaginário, História e Diversidade: Textos do Videlicet: Volume 2 (disponível temporariamente)")</f>
        <v>O que se vê nas religiões? Imaginário, História e Diversidade: Textos do Videlicet: Volume 2 (disponível temporariamente)</v>
      </c>
      <c r="B682" s="24" t="str">
        <f>IFERROR(__xludf.DUMMYFUNCTION("""COMPUTED_VALUE"""),"Carlos André Cavalcanti, Ana Paula Cavalcanti, Raquel Miranda Carmona, (organizadores).")</f>
        <v>Carlos André Cavalcanti, Ana Paula Cavalcanti, Raquel Miranda Carmona, (organizadores).</v>
      </c>
      <c r="C682" s="24" t="str">
        <f>IFERROR(__xludf.DUMMYFUNCTION("""COMPUTED_VALUE"""),"João Pessoa")</f>
        <v>João Pessoa</v>
      </c>
      <c r="D682" s="24" t="str">
        <f>IFERROR(__xludf.DUMMYFUNCTION("""COMPUTED_VALUE"""),"Editora da UFPB")</f>
        <v>Editora da UFPB</v>
      </c>
      <c r="E682" s="25">
        <f>IFERROR(__xludf.DUMMYFUNCTION("""COMPUTED_VALUE"""),2018.0)</f>
        <v>2018</v>
      </c>
      <c r="F682" s="24" t="str">
        <f>IFERROR(__xludf.DUMMYFUNCTION("""COMPUTED_VALUE"""),"Religiões; Espiritualidade; Ciências das religiões")</f>
        <v>Religiões; Espiritualidade; Ciências das religiões</v>
      </c>
      <c r="G682" s="28" t="str">
        <f>IFERROR(__xludf.DUMMYFUNCTION("""COMPUTED_VALUE"""),"9788523713782")</f>
        <v>9788523713782</v>
      </c>
      <c r="H682" s="29" t="str">
        <f>IFERROR(__xludf.DUMMYFUNCTION("""COMPUTED_VALUE"""),"http://www.editora.ufpb.br/sistema/press5/index.php/UFPB/catalog/book/440")</f>
        <v>http://www.editora.ufpb.br/sistema/press5/index.php/UFPB/catalog/book/440</v>
      </c>
      <c r="I682" s="24" t="str">
        <f>IFERROR(__xludf.DUMMYFUNCTION("""COMPUTED_VALUE"""),"Ciências Humanas")</f>
        <v>Ciências Humanas</v>
      </c>
    </row>
    <row r="683">
      <c r="A683" s="24" t="str">
        <f>IFERROR(__xludf.DUMMYFUNCTION("""COMPUTED_VALUE"""),"O Sertanejo, entre Deus e o Diabo, na Terra do Sol")</f>
        <v>O Sertanejo, entre Deus e o Diabo, na Terra do Sol</v>
      </c>
      <c r="B683" s="24" t="str">
        <f>IFERROR(__xludf.DUMMYFUNCTION("""COMPUTED_VALUE"""),"Maria de Loudes Soares.")</f>
        <v>Maria de Loudes Soares.</v>
      </c>
      <c r="C683" s="24" t="str">
        <f>IFERROR(__xludf.DUMMYFUNCTION("""COMPUTED_VALUE"""),"João Pessoa")</f>
        <v>João Pessoa</v>
      </c>
      <c r="D683" s="24" t="str">
        <f>IFERROR(__xludf.DUMMYFUNCTION("""COMPUTED_VALUE"""),"Editora da UFPB")</f>
        <v>Editora da UFPB</v>
      </c>
      <c r="E683" s="25">
        <f>IFERROR(__xludf.DUMMYFUNCTION("""COMPUTED_VALUE"""),2018.0)</f>
        <v>2018</v>
      </c>
      <c r="F683" s="24" t="str">
        <f>IFERROR(__xludf.DUMMYFUNCTION("""COMPUTED_VALUE"""),"Nordestes - Brasil; Sertão")</f>
        <v>Nordestes - Brasil; Sertão</v>
      </c>
      <c r="G683" s="28" t="str">
        <f>IFERROR(__xludf.DUMMYFUNCTION("""COMPUTED_VALUE"""),"9878523713133")</f>
        <v>9878523713133</v>
      </c>
      <c r="H683" s="29" t="str">
        <f>IFERROR(__xludf.DUMMYFUNCTION("""COMPUTED_VALUE"""),"http://www.editora.ufpb.br/sistema/press5/index.php/UFPB/catalog/book/115")</f>
        <v>http://www.editora.ufpb.br/sistema/press5/index.php/UFPB/catalog/book/115</v>
      </c>
      <c r="I683" s="24" t="str">
        <f>IFERROR(__xludf.DUMMYFUNCTION("""COMPUTED_VALUE"""),"Ciências Humanas")</f>
        <v>Ciências Humanas</v>
      </c>
    </row>
    <row r="684">
      <c r="A684" s="24" t="str">
        <f>IFERROR(__xludf.DUMMYFUNCTION("""COMPUTED_VALUE"""),"O terribilíssimo mal do Oriente: o cólera na província do Espírito Santo (1855-1856)")</f>
        <v>O terribilíssimo mal do Oriente: o cólera na província do Espírito Santo (1855-1856)</v>
      </c>
      <c r="B684" s="24" t="str">
        <f>IFERROR(__xludf.DUMMYFUNCTION("""COMPUTED_VALUE"""),"Sebastião Pimentel Franco")</f>
        <v>Sebastião Pimentel Franco</v>
      </c>
      <c r="C684" s="24" t="str">
        <f>IFERROR(__xludf.DUMMYFUNCTION("""COMPUTED_VALUE"""),"Vitória")</f>
        <v>Vitória</v>
      </c>
      <c r="D684" s="24" t="str">
        <f>IFERROR(__xludf.DUMMYFUNCTION("""COMPUTED_VALUE"""),"EDUFES")</f>
        <v>EDUFES</v>
      </c>
      <c r="E684" s="25">
        <f>IFERROR(__xludf.DUMMYFUNCTION("""COMPUTED_VALUE"""),2015.0)</f>
        <v>2015</v>
      </c>
      <c r="F684" s="24" t="str">
        <f>IFERROR(__xludf.DUMMYFUNCTION("""COMPUTED_VALUE"""),"Cólera; Epidemias; Saúde pública;Espírito Santo")</f>
        <v>Cólera; Epidemias; Saúde pública;Espírito Santo</v>
      </c>
      <c r="G684" s="28" t="str">
        <f>IFERROR(__xludf.DUMMYFUNCTION("""COMPUTED_VALUE"""),"9788577722839")</f>
        <v>9788577722839</v>
      </c>
      <c r="H684" s="29" t="str">
        <f>IFERROR(__xludf.DUMMYFUNCTION("""COMPUTED_VALUE"""),"http://repositorio.ufes.br/handle/10/6761")</f>
        <v>http://repositorio.ufes.br/handle/10/6761</v>
      </c>
      <c r="I684" s="24" t="str">
        <f>IFERROR(__xludf.DUMMYFUNCTION("""COMPUTED_VALUE"""),"Ciências Humanas")</f>
        <v>Ciências Humanas</v>
      </c>
    </row>
    <row r="685">
      <c r="A685" s="24" t="str">
        <f>IFERROR(__xludf.DUMMYFUNCTION("""COMPUTED_VALUE"""),"Oficinas de memória teoria e prática ")</f>
        <v>Oficinas de memória teoria e prática </v>
      </c>
      <c r="B685" s="24" t="str">
        <f>IFERROR(__xludf.DUMMYFUNCTION("""COMPUTED_VALUE"""),"Beatriz Pinto Venancio; Maria Carmen Vilas-Bôas Hacker Alvarenga (org.)")</f>
        <v>Beatriz Pinto Venancio; Maria Carmen Vilas-Bôas Hacker Alvarenga (org.)</v>
      </c>
      <c r="C685" s="24" t="str">
        <f>IFERROR(__xludf.DUMMYFUNCTION("""COMPUTED_VALUE"""),"Niterói, RJ")</f>
        <v>Niterói, RJ</v>
      </c>
      <c r="D685" s="24" t="str">
        <f>IFERROR(__xludf.DUMMYFUNCTION("""COMPUTED_VALUE"""),"Editora da UFF")</f>
        <v>Editora da UFF</v>
      </c>
      <c r="E685" s="25">
        <f>IFERROR(__xludf.DUMMYFUNCTION("""COMPUTED_VALUE"""),2010.0)</f>
        <v>2010</v>
      </c>
      <c r="F685" s="24" t="str">
        <f>IFERROR(__xludf.DUMMYFUNCTION("""COMPUTED_VALUE"""),"Oficinas; Envelhecimento")</f>
        <v>Oficinas; Envelhecimento</v>
      </c>
      <c r="G685" s="28" t="str">
        <f>IFERROR(__xludf.DUMMYFUNCTION("""COMPUTED_VALUE"""),"9788522806805")</f>
        <v>9788522806805</v>
      </c>
      <c r="H685" s="29" t="str">
        <f>IFERROR(__xludf.DUMMYFUNCTION("""COMPUTED_VALUE"""),"http://www.eduff.uff.br/ebooks/Oficinas-da-memoria-Teoria-e-pratica.pdf")</f>
        <v>http://www.eduff.uff.br/ebooks/Oficinas-da-memoria-Teoria-e-pratica.pdf</v>
      </c>
      <c r="I685" s="24" t="str">
        <f>IFERROR(__xludf.DUMMYFUNCTION("""COMPUTED_VALUE"""),"Ciências Humanas")</f>
        <v>Ciências Humanas</v>
      </c>
    </row>
    <row r="686">
      <c r="A686" s="24" t="str">
        <f>IFERROR(__xludf.DUMMYFUNCTION("""COMPUTED_VALUE"""),"Olhares sobre a constituição do sujeito contemporâneo: cultura e diversidade")</f>
        <v>Olhares sobre a constituição do sujeito contemporâneo: cultura e diversidade</v>
      </c>
      <c r="B686" s="24" t="str">
        <f>IFERROR(__xludf.DUMMYFUNCTION("""COMPUTED_VALUE"""),"(org.) Rita de Cássia Pacheco Limberti, Vânia Maria Lescano Guerra, Edgar Cézar Nolasco")</f>
        <v>(org.) Rita de Cássia Pacheco Limberti, Vânia Maria Lescano Guerra, Edgar Cézar Nolasco</v>
      </c>
      <c r="C686" s="24" t="str">
        <f>IFERROR(__xludf.DUMMYFUNCTION("""COMPUTED_VALUE"""),"Dourados, MS")</f>
        <v>Dourados, MS</v>
      </c>
      <c r="D686" s="24" t="str">
        <f>IFERROR(__xludf.DUMMYFUNCTION("""COMPUTED_VALUE"""),"Ed. da UFGD")</f>
        <v>Ed. da UFGD</v>
      </c>
      <c r="E686" s="25">
        <f>IFERROR(__xludf.DUMMYFUNCTION("""COMPUTED_VALUE"""),2013.0)</f>
        <v>2013</v>
      </c>
      <c r="F686" s="24" t="str">
        <f>IFERROR(__xludf.DUMMYFUNCTION("""COMPUTED_VALUE"""),"Sujeito (Filosoia); Cultura; Constituição do sujeito. I. Limberti, Rita de Cássia Pacheco")</f>
        <v>Sujeito (Filosoia); Cultura; Constituição do sujeito. I. Limberti, Rita de Cássia Pacheco</v>
      </c>
      <c r="G686" s="28" t="str">
        <f>IFERROR(__xludf.DUMMYFUNCTION("""COMPUTED_VALUE"""),"9788581470641")</f>
        <v>9788581470641</v>
      </c>
      <c r="H686" s="29" t="str">
        <f>IFERROR(__xludf.DUMMYFUNCTION("""COMPUTED_VALUE"""),"http://omp.ufgd.edu.br/omp/index.php/livrosabertos/catalog/view/158/187/468-1")</f>
        <v>http://omp.ufgd.edu.br/omp/index.php/livrosabertos/catalog/view/158/187/468-1</v>
      </c>
      <c r="I686" s="24" t="str">
        <f>IFERROR(__xludf.DUMMYFUNCTION("""COMPUTED_VALUE"""),"Ciências Humanas")</f>
        <v>Ciências Humanas</v>
      </c>
    </row>
    <row r="687">
      <c r="A687" s="24" t="str">
        <f>IFERROR(__xludf.DUMMYFUNCTION("""COMPUTED_VALUE"""),"Olhares sobre os assentamentos de reforma agrária em Mato Grosso do Sul")</f>
        <v>Olhares sobre os assentamentos de reforma agrária em Mato Grosso do Sul</v>
      </c>
      <c r="B687" s="24" t="str">
        <f>IFERROR(__xludf.DUMMYFUNCTION("""COMPUTED_VALUE"""),"André Luiz Faisting, Walter Marschner (org.)")</f>
        <v>André Luiz Faisting, Walter Marschner (org.)</v>
      </c>
      <c r="C687" s="24" t="str">
        <f>IFERROR(__xludf.DUMMYFUNCTION("""COMPUTED_VALUE"""),"Dourados, MS")</f>
        <v>Dourados, MS</v>
      </c>
      <c r="D687" s="24" t="str">
        <f>IFERROR(__xludf.DUMMYFUNCTION("""COMPUTED_VALUE"""),"Ed. da UFGD")</f>
        <v>Ed. da UFGD</v>
      </c>
      <c r="E687" s="25">
        <f>IFERROR(__xludf.DUMMYFUNCTION("""COMPUTED_VALUE"""),2015.0)</f>
        <v>2015</v>
      </c>
      <c r="F687" s="24" t="str">
        <f>IFERROR(__xludf.DUMMYFUNCTION("""COMPUTED_VALUE"""),"Território; Pedagogia da alternância; Educação do campo")</f>
        <v>Território; Pedagogia da alternância; Educação do campo</v>
      </c>
      <c r="G687" s="28" t="str">
        <f>IFERROR(__xludf.DUMMYFUNCTION("""COMPUTED_VALUE"""),"9788581471167")</f>
        <v>9788581471167</v>
      </c>
      <c r="H687" s="29" t="str">
        <f>IFERROR(__xludf.DUMMYFUNCTION("""COMPUTED_VALUE"""),"http://omp.ufgd.edu.br/omp/index.php/livrosabertos/catalog/view/159/186/467-1")</f>
        <v>http://omp.ufgd.edu.br/omp/index.php/livrosabertos/catalog/view/159/186/467-1</v>
      </c>
      <c r="I687" s="24" t="str">
        <f>IFERROR(__xludf.DUMMYFUNCTION("""COMPUTED_VALUE"""),"Ciências Humanas")</f>
        <v>Ciências Humanas</v>
      </c>
    </row>
    <row r="688">
      <c r="A688" s="24" t="str">
        <f>IFERROR(__xludf.DUMMYFUNCTION("""COMPUTED_VALUE"""),"Ordem imperial e aldeamento indígena: Camacãs, Guerens e Pataxós no Sul da Bahia ")</f>
        <v>Ordem imperial e aldeamento indígena: Camacãs, Guerens e Pataxós no Sul da Bahia </v>
      </c>
      <c r="B688" s="24" t="str">
        <f>IFERROR(__xludf.DUMMYFUNCTION("""COMPUTED_VALUE"""),"Ayalla Oliveira Silva (org.)")</f>
        <v>Ayalla Oliveira Silva (org.)</v>
      </c>
      <c r="C688" s="24" t="str">
        <f>IFERROR(__xludf.DUMMYFUNCTION("""COMPUTED_VALUE"""),"Ilhéus, BA")</f>
        <v>Ilhéus, BA</v>
      </c>
      <c r="D688" s="24" t="str">
        <f>IFERROR(__xludf.DUMMYFUNCTION("""COMPUTED_VALUE"""),"Editus")</f>
        <v>Editus</v>
      </c>
      <c r="E688" s="25">
        <f>IFERROR(__xludf.DUMMYFUNCTION("""COMPUTED_VALUE"""),2017.0)</f>
        <v>2017</v>
      </c>
      <c r="F688" s="24" t="str">
        <f>IFERROR(__xludf.DUMMYFUNCTION("""COMPUTED_VALUE"""),"Aldeias indígenas – Bahia; Índios – Historiografia; Índios – Aspectos sociais; Índios – Brasil - História - Período colonial - 1500-1822; Índios – Brasil - História - Império - 1822-188")</f>
        <v>Aldeias indígenas – Bahia; Índios – Historiografia; Índios – Aspectos sociais; Índios – Brasil - História - Período colonial - 1500-1822; Índios – Brasil - História - Império - 1822-188</v>
      </c>
      <c r="G688" s="26"/>
      <c r="H688" s="29" t="str">
        <f>IFERROR(__xludf.DUMMYFUNCTION("""COMPUTED_VALUE"""),"http://www.uesc.br/editora/livrosdigitais2019/ordem_imperial_e_aldeamento_indigena.pdf")</f>
        <v>http://www.uesc.br/editora/livrosdigitais2019/ordem_imperial_e_aldeamento_indigena.pdf</v>
      </c>
      <c r="I688" s="24" t="str">
        <f>IFERROR(__xludf.DUMMYFUNCTION("""COMPUTED_VALUE"""),"Ciências Humanas")</f>
        <v>Ciências Humanas</v>
      </c>
    </row>
    <row r="689">
      <c r="A689" s="24" t="str">
        <f>IFERROR(__xludf.DUMMYFUNCTION("""COMPUTED_VALUE"""),"Organização social e movimentos sociais rurais")</f>
        <v>Organização social e movimentos sociais rurais</v>
      </c>
      <c r="B689" s="24" t="str">
        <f>IFERROR(__xludf.DUMMYFUNCTION("""COMPUTED_VALUE"""),"Gehlen, Ivaldo; Mocelin, Daniel Gustavo; Neis, Ignacio Antonio; Abreu, Sabrina Pereira de; Rodrigues, Rosany Schwarz ")</f>
        <v>Gehlen, Ivaldo; Mocelin, Daniel Gustavo; Neis, Ignacio Antonio; Abreu, Sabrina Pereira de; Rodrigues, Rosany Schwarz </v>
      </c>
      <c r="C689" s="24" t="str">
        <f>IFERROR(__xludf.DUMMYFUNCTION("""COMPUTED_VALUE"""),"Porto Alegre")</f>
        <v>Porto Alegre</v>
      </c>
      <c r="D689" s="24" t="str">
        <f>IFERROR(__xludf.DUMMYFUNCTION("""COMPUTED_VALUE"""),"UFRGS")</f>
        <v>UFRGS</v>
      </c>
      <c r="E689" s="25">
        <f>IFERROR(__xludf.DUMMYFUNCTION("""COMPUTED_VALUE"""),2009.0)</f>
        <v>2009</v>
      </c>
      <c r="F689" s="24" t="str">
        <f>IFERROR(__xludf.DUMMYFUNCTION("""COMPUTED_VALUE"""),"Desigualdade social; Ensino a distância; Estratificação social; Movimentos sociais; Movimentos sociais rurais; Organização social; Sociologia rural")</f>
        <v>Desigualdade social; Ensino a distância; Estratificação social; Movimentos sociais; Movimentos sociais rurais; Organização social; Sociologia rural</v>
      </c>
      <c r="G689" s="28" t="str">
        <f>IFERROR(__xludf.DUMMYFUNCTION("""COMPUTED_VALUE"""),"9788538600725")</f>
        <v>9788538600725</v>
      </c>
      <c r="H689" s="29" t="str">
        <f>IFERROR(__xludf.DUMMYFUNCTION("""COMPUTED_VALUE"""),"http://hdl.handle.net/10183/52809")</f>
        <v>http://hdl.handle.net/10183/52809</v>
      </c>
      <c r="I689" s="24" t="str">
        <f>IFERROR(__xludf.DUMMYFUNCTION("""COMPUTED_VALUE"""),"Ciências Humanas")</f>
        <v>Ciências Humanas</v>
      </c>
    </row>
    <row r="690">
      <c r="A690" s="24" t="str">
        <f>IFERROR(__xludf.DUMMYFUNCTION("""COMPUTED_VALUE"""),"Os “Nós” que fortalecem a Rede Federal de Educação Profissional Científica e Tecnológica")</f>
        <v>Os “Nós” que fortalecem a Rede Federal de Educação Profissional Científica e Tecnológica</v>
      </c>
      <c r="B690" s="24" t="str">
        <f>IFERROR(__xludf.DUMMYFUNCTION("""COMPUTED_VALUE"""),"Sidinei Cruz Sobrinho, Reginaldo Leandro Plácido, Eduardo Augusto Werneck Ribeiro")</f>
        <v>Sidinei Cruz Sobrinho, Reginaldo Leandro Plácido, Eduardo Augusto Werneck Ribeiro</v>
      </c>
      <c r="C690" s="24" t="str">
        <f>IFERROR(__xludf.DUMMYFUNCTION("""COMPUTED_VALUE"""),"Blumenau")</f>
        <v>Blumenau</v>
      </c>
      <c r="D690" s="24" t="str">
        <f>IFERROR(__xludf.DUMMYFUNCTION("""COMPUTED_VALUE"""),"Instituto Federal Catarinense")</f>
        <v>Instituto Federal Catarinense</v>
      </c>
      <c r="E690" s="25">
        <f>IFERROR(__xludf.DUMMYFUNCTION("""COMPUTED_VALUE"""),2019.0)</f>
        <v>2019</v>
      </c>
      <c r="F690" s="24" t="str">
        <f>IFERROR(__xludf.DUMMYFUNCTION("""COMPUTED_VALUE"""),"Ensino profissional. Educação de jovens e adultos. Ensino médio integrado. Professores - formação")</f>
        <v>Ensino profissional. Educação de jovens e adultos. Ensino médio integrado. Professores - formação</v>
      </c>
      <c r="G690" s="28" t="str">
        <f>IFERROR(__xludf.DUMMYFUNCTION("""COMPUTED_VALUE"""),"9788556440488")</f>
        <v>9788556440488</v>
      </c>
      <c r="H690" s="29" t="str">
        <f>IFERROR(__xludf.DUMMYFUNCTION("""COMPUTED_VALUE"""),"https://editora.ifc.edu.br/2019/12/10/os-nos-que-fortalecem-a-rede-federal-de-educacao-profissional-cientifica-e-tecnologica/")</f>
        <v>https://editora.ifc.edu.br/2019/12/10/os-nos-que-fortalecem-a-rede-federal-de-educacao-profissional-cientifica-e-tecnologica/</v>
      </c>
      <c r="I690" s="24" t="str">
        <f>IFERROR(__xludf.DUMMYFUNCTION("""COMPUTED_VALUE"""),"Ciências Humanas")</f>
        <v>Ciências Humanas</v>
      </c>
    </row>
    <row r="691">
      <c r="A691" s="24" t="str">
        <f>IFERROR(__xludf.DUMMYFUNCTION("""COMPUTED_VALUE"""),"Os dizeres do silêncio")</f>
        <v>Os dizeres do silêncio</v>
      </c>
      <c r="B691" s="24" t="str">
        <f>IFERROR(__xludf.DUMMYFUNCTION("""COMPUTED_VALUE"""),"Elizete amaral de Medeiros")</f>
        <v>Elizete amaral de Medeiros</v>
      </c>
      <c r="C691" s="24" t="str">
        <f>IFERROR(__xludf.DUMMYFUNCTION("""COMPUTED_VALUE"""),"Campina Grande")</f>
        <v>Campina Grande</v>
      </c>
      <c r="D691" s="24" t="str">
        <f>IFERROR(__xludf.DUMMYFUNCTION("""COMPUTED_VALUE"""),"EDUEPB")</f>
        <v>EDUEPB</v>
      </c>
      <c r="E691" s="25">
        <f>IFERROR(__xludf.DUMMYFUNCTION("""COMPUTED_VALUE"""),2016.0)</f>
        <v>2016</v>
      </c>
      <c r="F691" s="24" t="str">
        <f>IFERROR(__xludf.DUMMYFUNCTION("""COMPUTED_VALUE"""),"Sociologia. Silêncio. Poder. Classe social. Literatura contemporânea. Política")</f>
        <v>Sociologia. Silêncio. Poder. Classe social. Literatura contemporânea. Política</v>
      </c>
      <c r="G691" s="28" t="str">
        <f>IFERROR(__xludf.DUMMYFUNCTION("""COMPUTED_VALUE"""),"9788578794842")</f>
        <v>9788578794842</v>
      </c>
      <c r="H691" s="29" t="str">
        <f>IFERROR(__xludf.DUMMYFUNCTION("""COMPUTED_VALUE"""),"http://eduepb.uepb.edu.br/download/os-dizeres-do-silencio/?wpdmdl=394&amp;amp;masterkey=5b2281970c1fa")</f>
        <v>http://eduepb.uepb.edu.br/download/os-dizeres-do-silencio/?wpdmdl=394&amp;amp;masterkey=5b2281970c1fa</v>
      </c>
      <c r="I691" s="24" t="str">
        <f>IFERROR(__xludf.DUMMYFUNCTION("""COMPUTED_VALUE"""),"Ciências Humanas")</f>
        <v>Ciências Humanas</v>
      </c>
    </row>
    <row r="692">
      <c r="A692" s="24" t="str">
        <f>IFERROR(__xludf.DUMMYFUNCTION("""COMPUTED_VALUE"""),"Os impasses do estado capitalista: uma análise sobre a reforma do Estado no Brasil*")</f>
        <v>Os impasses do estado capitalista: uma análise sobre a reforma do Estado no Brasil*</v>
      </c>
      <c r="B692" s="24" t="str">
        <f>IFERROR(__xludf.DUMMYFUNCTION("""COMPUTED_VALUE"""),"Lucia Cortes da Costa")</f>
        <v>Lucia Cortes da Costa</v>
      </c>
      <c r="C692" s="24" t="str">
        <f>IFERROR(__xludf.DUMMYFUNCTION("""COMPUTED_VALUE"""),"Ponta Grossa")</f>
        <v>Ponta Grossa</v>
      </c>
      <c r="D692" s="24" t="str">
        <f>IFERROR(__xludf.DUMMYFUNCTION("""COMPUTED_VALUE"""),"Editora UEPG")</f>
        <v>Editora UEPG</v>
      </c>
      <c r="E692" s="25">
        <f>IFERROR(__xludf.DUMMYFUNCTION("""COMPUTED_VALUE"""),2006.0)</f>
        <v>2006</v>
      </c>
      <c r="F692" s="24" t="str">
        <f>IFERROR(__xludf.DUMMYFUNCTION("""COMPUTED_VALUE"""),"Este livro, originalmente a tese de doutoramento de Lucia Cortes da Costa, é, sem dúvida, expressão fecunda de uma trajetória intelectual e consolidação do trabalho de uma competente pesquisadora no âmbito do Serviço Social brasileiro. Assim, antes de tec"&amp;"er algumas considerações sobre o pensamento da autora é necessário inscrever esta reflexão no âmbito das maduras análises que a profissão e seus intelectuais vêm construindo sobre as particularidades do Estado brasileiro, no atual contexto do capitalismo."&amp;" Difícil contexto, que vem interpelando o Serviço Social sob vários aspectos: das novas manifestações e expressões da questão social, resultantes de transformações estruturais do capitalismo contemporâneo, aos processos de redefinição dos sistemas de prot"&amp;"eção social e da política social em geral que emergem nesse cenário. Desafios de um tempo incerto, de mudanças aceleradas e transformações na economia, na política e na sociabi-lidade. Não há dúvidas de que está em curso um ciclo de transformações societá"&amp;"rias em escala internacional e em diferentes esferas da vida")</f>
        <v>Este livro, originalmente a tese de doutoramento de Lucia Cortes da Costa, é, sem dúvida, expressão fecunda de uma trajetória intelectual e consolidação do trabalho de uma competente pesquisadora no âmbito do Serviço Social brasileiro. Assim, antes de tecer algumas considerações sobre o pensamento da autora é necessário inscrever esta reflexão no âmbito das maduras análises que a profissão e seus intelectuais vêm construindo sobre as particularidades do Estado brasileiro, no atual contexto do capitalismo. Difícil contexto, que vem interpelando o Serviço Social sob vários aspectos: das novas manifestações e expressões da questão social, resultantes de transformações estruturais do capitalismo contemporâneo, aos processos de redefinição dos sistemas de proteção social e da política social em geral que emergem nesse cenário. Desafios de um tempo incerto, de mudanças aceleradas e transformações na economia, na política e na sociabi-lidade. Não há dúvidas de que está em curso um ciclo de transformações societárias em escala internacional e em diferentes esferas da vida</v>
      </c>
      <c r="G692" s="28" t="str">
        <f>IFERROR(__xludf.DUMMYFUNCTION("""COMPUTED_VALUE"""),"77981800")</f>
        <v>77981800</v>
      </c>
      <c r="H692" s="29" t="str">
        <f>IFERROR(__xludf.DUMMYFUNCTION("""COMPUTED_VALUE"""),"https://portal-archipelagus.azurewebsites.net/farol/eduepg/ebook/os-impasses-do-estado-capitalista-uma-analise-sobre-a-reforma-do-estado-no-brasil/34258/")</f>
        <v>https://portal-archipelagus.azurewebsites.net/farol/eduepg/ebook/os-impasses-do-estado-capitalista-uma-analise-sobre-a-reforma-do-estado-no-brasil/34258/</v>
      </c>
      <c r="I692" s="24" t="str">
        <f>IFERROR(__xludf.DUMMYFUNCTION("""COMPUTED_VALUE"""),"Ciências Humanas")</f>
        <v>Ciências Humanas</v>
      </c>
    </row>
    <row r="693">
      <c r="A693" s="24" t="str">
        <f>IFERROR(__xludf.DUMMYFUNCTION("""COMPUTED_VALUE"""),"Os jovens e a história: Brasil e América do Sul*")</f>
        <v>Os jovens e a história: Brasil e América do Sul*</v>
      </c>
      <c r="B693" s="24" t="str">
        <f>IFERROR(__xludf.DUMMYFUNCTION("""COMPUTED_VALUE"""),"Luiz Fernado Cerri")</f>
        <v>Luiz Fernado Cerri</v>
      </c>
      <c r="C693" s="24" t="str">
        <f>IFERROR(__xludf.DUMMYFUNCTION("""COMPUTED_VALUE"""),"Ponta Grossa")</f>
        <v>Ponta Grossa</v>
      </c>
      <c r="D693" s="24" t="str">
        <f>IFERROR(__xludf.DUMMYFUNCTION("""COMPUTED_VALUE"""),"Editora UEPG")</f>
        <v>Editora UEPG</v>
      </c>
      <c r="E693" s="25">
        <f>IFERROR(__xludf.DUMMYFUNCTION("""COMPUTED_VALUE"""),2018.0)</f>
        <v>2018</v>
      </c>
      <c r="F693" s="24" t="str">
        <f>IFERROR(__xludf.DUMMYFUNCTION("""COMPUTED_VALUE"""),"Os impactos e benefícios esperados a partir dos resultados que agora apresentamos nesse livro envolvem a produção de conhecimento para subsidiar políticas públicas nos países envolvidos (Brasil, Argentina, Uruguai, Paraguai e Chile) no que se refere a cur"&amp;"rículos e programas, livros e outros materiais didáticos, campanhas educativas e como para fornecer elementos passíveis de utilização por professores nas escolas e para formadores de professores, nas faculdades e universidades, orientando e otimizando os "&amp;"esforços educacionais. Este último propósito, relevante em todos os países é, também, urgente no Brasil, diante da necessidade de problematizar o ensino de História em particular e as humanidades no caso geral, em um momento em que os métodos avaliativos "&amp;"do ENEM se apresentam como uma nova baliza de organização curricular. Dados que se preocupem com um estudo de caso brasileiro se fazem mais prementes para problematizar as escolhas deste processo")</f>
        <v>Os impactos e benefícios esperados a partir dos resultados que agora apresentamos nesse livro envolvem a produção de conhecimento para subsidiar políticas públicas nos países envolvidos (Brasil, Argentina, Uruguai, Paraguai e Chile) no que se refere a currículos e programas, livros e outros materiais didáticos, campanhas educativas e como para fornecer elementos passíveis de utilização por professores nas escolas e para formadores de professores, nas faculdades e universidades, orientando e otimizando os esforços educacionais. Este último propósito, relevante em todos os países é, também, urgente no Brasil, diante da necessidade de problematizar o ensino de História em particular e as humanidades no caso geral, em um momento em que os métodos avaliativos do ENEM se apresentam como uma nova baliza de organização curricular. Dados que se preocupem com um estudo de caso brasileiro se fazem mais prementes para problematizar as escolhas deste processo</v>
      </c>
      <c r="G693" s="28" t="str">
        <f>IFERROR(__xludf.DUMMYFUNCTION("""COMPUTED_VALUE"""),"9788577980")</f>
        <v>9788577980</v>
      </c>
      <c r="H693" s="29" t="str">
        <f>IFERROR(__xludf.DUMMYFUNCTION("""COMPUTED_VALUE"""),"https://portal-archipelagus.azurewebsites.net/farol/eduepg/ebook/os-jovens-e-a-historia-brasil-e-america-do-sul/562999/")</f>
        <v>https://portal-archipelagus.azurewebsites.net/farol/eduepg/ebook/os-jovens-e-a-historia-brasil-e-america-do-sul/562999/</v>
      </c>
      <c r="I693" s="24" t="str">
        <f>IFERROR(__xludf.DUMMYFUNCTION("""COMPUTED_VALUE"""),"Ciências Humanas")</f>
        <v>Ciências Humanas</v>
      </c>
    </row>
    <row r="694">
      <c r="A694" s="24" t="str">
        <f>IFERROR(__xludf.DUMMYFUNCTION("""COMPUTED_VALUE"""),"Os Kaiowá em Mato Grosso do Sul: módulos organizacionais e humanização do espaço habitado")</f>
        <v>Os Kaiowá em Mato Grosso do Sul: módulos organizacionais e humanização do espaço habitado</v>
      </c>
      <c r="B694" s="24" t="str">
        <f>IFERROR(__xludf.DUMMYFUNCTION("""COMPUTED_VALUE"""),"Levi Marques Pereira")</f>
        <v>Levi Marques Pereira</v>
      </c>
      <c r="C694" s="24" t="str">
        <f>IFERROR(__xludf.DUMMYFUNCTION("""COMPUTED_VALUE"""),"Dourados, MS")</f>
        <v>Dourados, MS</v>
      </c>
      <c r="D694" s="24" t="str">
        <f>IFERROR(__xludf.DUMMYFUNCTION("""COMPUTED_VALUE"""),"Ed. da UFGD")</f>
        <v>Ed. da UFGD</v>
      </c>
      <c r="E694" s="25">
        <f>IFERROR(__xludf.DUMMYFUNCTION("""COMPUTED_VALUE"""),2016.0)</f>
        <v>2016</v>
      </c>
      <c r="F694" s="24" t="str">
        <f>IFERROR(__xludf.DUMMYFUNCTION("""COMPUTED_VALUE"""),"Kaiowá; Etnologia indígena; Conhecimento indígena")</f>
        <v>Kaiowá; Etnologia indígena; Conhecimento indígena</v>
      </c>
      <c r="G694" s="28" t="str">
        <f>IFERROR(__xludf.DUMMYFUNCTION("""COMPUTED_VALUE"""),"9788581471631")</f>
        <v>9788581471631</v>
      </c>
      <c r="H694" s="29" t="str">
        <f>IFERROR(__xludf.DUMMYFUNCTION("""COMPUTED_VALUE"""),"http://omp.ufgd.edu.br/omp/index.php/livrosabertos/catalog/view/160/185/466-1")</f>
        <v>http://omp.ufgd.edu.br/omp/index.php/livrosabertos/catalog/view/160/185/466-1</v>
      </c>
      <c r="I694" s="24" t="str">
        <f>IFERROR(__xludf.DUMMYFUNCTION("""COMPUTED_VALUE"""),"Ciências Humanas")</f>
        <v>Ciências Humanas</v>
      </c>
    </row>
    <row r="695">
      <c r="A695" s="24" t="str">
        <f>IFERROR(__xludf.DUMMYFUNCTION("""COMPUTED_VALUE"""),"OS PROBLEMAS DA OPINIÃO FALSA E DA PREDICAÇÃO NO DIÁLOGO SOFISTA DE PLATÃO")</f>
        <v>OS PROBLEMAS DA OPINIÃO FALSA E DA PREDICAÇÃO NO DIÁLOGO SOFISTA DE PLATÃO</v>
      </c>
      <c r="B695" s="24" t="str">
        <f>IFERROR(__xludf.DUMMYFUNCTION("""COMPUTED_VALUE"""),"Francisco de Assis Vale Calvacante Filho.")</f>
        <v>Francisco de Assis Vale Calvacante Filho.</v>
      </c>
      <c r="C695" s="24" t="str">
        <f>IFERROR(__xludf.DUMMYFUNCTION("""COMPUTED_VALUE"""),"João Pessoa")</f>
        <v>João Pessoa</v>
      </c>
      <c r="D695" s="24" t="str">
        <f>IFERROR(__xludf.DUMMYFUNCTION("""COMPUTED_VALUE"""),"Editora da UFPB")</f>
        <v>Editora da UFPB</v>
      </c>
      <c r="E695" s="25">
        <f>IFERROR(__xludf.DUMMYFUNCTION("""COMPUTED_VALUE"""),2016.0)</f>
        <v>2016</v>
      </c>
      <c r="F695" s="24" t="str">
        <f>IFERROR(__xludf.DUMMYFUNCTION("""COMPUTED_VALUE"""),"O presente estudo versa sobre o diálogo Sofista. Este importante e difícil diálogo, um dos últimos da obra platônica, é uma ótima fonte e poderosa ferramenta para a pesquisa sobre o pensamento de Platão e os principais problemas que aborda a sua filosofia")</f>
        <v>O presente estudo versa sobre o diálogo Sofista. Este importante e difícil diálogo, um dos últimos da obra platônica, é uma ótima fonte e poderosa ferramenta para a pesquisa sobre o pensamento de Platão e os principais problemas que aborda a sua filosofia</v>
      </c>
      <c r="G695" s="28" t="str">
        <f>IFERROR(__xludf.DUMMYFUNCTION("""COMPUTED_VALUE"""),"9878523711818")</f>
        <v>9878523711818</v>
      </c>
      <c r="H695" s="29" t="str">
        <f>IFERROR(__xludf.DUMMYFUNCTION("""COMPUTED_VALUE"""),"http://www.editora.ufpb.br/sistema/press5/index.php/UFPB/catalog/book/101")</f>
        <v>http://www.editora.ufpb.br/sistema/press5/index.php/UFPB/catalog/book/101</v>
      </c>
      <c r="I695" s="24" t="str">
        <f>IFERROR(__xludf.DUMMYFUNCTION("""COMPUTED_VALUE"""),"Ciências Humanas")</f>
        <v>Ciências Humanas</v>
      </c>
    </row>
    <row r="696">
      <c r="A696" s="24" t="str">
        <f>IFERROR(__xludf.DUMMYFUNCTION("""COMPUTED_VALUE"""),"Os saberes dos professores da Educação de Jovens e Adultos: o percurso de uma professora.")</f>
        <v>Os saberes dos professores da Educação de Jovens e Adultos: o percurso de uma professora.</v>
      </c>
      <c r="B696" s="24" t="str">
        <f>IFERROR(__xludf.DUMMYFUNCTION("""COMPUTED_VALUE"""),"Maria Aparecida Rezende")</f>
        <v>Maria Aparecida Rezende</v>
      </c>
      <c r="C696" s="24" t="str">
        <f>IFERROR(__xludf.DUMMYFUNCTION("""COMPUTED_VALUE"""),"Dourados, MS")</f>
        <v>Dourados, MS</v>
      </c>
      <c r="D696" s="24" t="str">
        <f>IFERROR(__xludf.DUMMYFUNCTION("""COMPUTED_VALUE"""),"Editora da UFGD")</f>
        <v>Editora da UFGD</v>
      </c>
      <c r="E696" s="25">
        <f>IFERROR(__xludf.DUMMYFUNCTION("""COMPUTED_VALUE"""),2008.0)</f>
        <v>2008</v>
      </c>
      <c r="F696" s="24" t="str">
        <f>IFERROR(__xludf.DUMMYFUNCTION("""COMPUTED_VALUE"""),"Educação de jovens e adultos; Prática de ensino; Professores – Formação")</f>
        <v>Educação de jovens e adultos; Prática de ensino; Professores – Formação</v>
      </c>
      <c r="G696" s="28" t="str">
        <f>IFERROR(__xludf.DUMMYFUNCTION("""COMPUTED_VALUE"""),"9788561228255")</f>
        <v>9788561228255</v>
      </c>
      <c r="H696" s="29" t="str">
        <f>IFERROR(__xludf.DUMMYFUNCTION("""COMPUTED_VALUE"""),"http://omp.ufgd.edu.br/omp/index.php/livrosabertos/catalog/view/161/184/465-1")</f>
        <v>http://omp.ufgd.edu.br/omp/index.php/livrosabertos/catalog/view/161/184/465-1</v>
      </c>
      <c r="I696" s="24" t="str">
        <f>IFERROR(__xludf.DUMMYFUNCTION("""COMPUTED_VALUE"""),"Ciências Humanas")</f>
        <v>Ciências Humanas</v>
      </c>
    </row>
    <row r="697">
      <c r="A697" s="24" t="str">
        <f>IFERROR(__xludf.DUMMYFUNCTION("""COMPUTED_VALUE"""),"Os Terena de Buriti: as formas organizacionais, territorialização da identidade étnica. ")</f>
        <v>Os Terena de Buriti: as formas organizacionais, territorialização da identidade étnica. </v>
      </c>
      <c r="B697" s="24" t="str">
        <f>IFERROR(__xludf.DUMMYFUNCTION("""COMPUTED_VALUE"""),"Levi Marques Pereira")</f>
        <v>Levi Marques Pereira</v>
      </c>
      <c r="C697" s="24" t="str">
        <f>IFERROR(__xludf.DUMMYFUNCTION("""COMPUTED_VALUE"""),"Dourados, MS")</f>
        <v>Dourados, MS</v>
      </c>
      <c r="D697" s="24" t="str">
        <f>IFERROR(__xludf.DUMMYFUNCTION("""COMPUTED_VALUE"""),"Editora da UFGD")</f>
        <v>Editora da UFGD</v>
      </c>
      <c r="E697" s="25">
        <f>IFERROR(__xludf.DUMMYFUNCTION("""COMPUTED_VALUE"""),2009.0)</f>
        <v>2009</v>
      </c>
      <c r="F697" s="24" t="str">
        <f>IFERROR(__xludf.DUMMYFUNCTION("""COMPUTED_VALUE"""),"Índios da América do Sul – Brasil, Mato Grosso do Sul; Índios Terena; Cultura indígena")</f>
        <v>Índios da América do Sul – Brasil, Mato Grosso do Sul; Índios Terena; Cultura indígena</v>
      </c>
      <c r="G697" s="28" t="str">
        <f>IFERROR(__xludf.DUMMYFUNCTION("""COMPUTED_VALUE"""),"9788561228316")</f>
        <v>9788561228316</v>
      </c>
      <c r="H697" s="29" t="str">
        <f>IFERROR(__xludf.DUMMYFUNCTION("""COMPUTED_VALUE"""),"http://omp.ufgd.edu.br/omp/index.php/livrosabertos/catalog/view/162/183/464-1")</f>
        <v>http://omp.ufgd.edu.br/omp/index.php/livrosabertos/catalog/view/162/183/464-1</v>
      </c>
      <c r="I697" s="24" t="str">
        <f>IFERROR(__xludf.DUMMYFUNCTION("""COMPUTED_VALUE"""),"Ciências Humanas")</f>
        <v>Ciências Humanas</v>
      </c>
    </row>
    <row r="698">
      <c r="A698" s="24" t="str">
        <f>IFERROR(__xludf.DUMMYFUNCTION("""COMPUTED_VALUE"""),"Os trabalhos de campo no ensino de geografia: refl exões sobre a prática docente na educação básica ")</f>
        <v>Os trabalhos de campo no ensino de geografia: refl exões sobre a prática docente na educação básica </v>
      </c>
      <c r="B698" s="24" t="str">
        <f>IFERROR(__xludf.DUMMYFUNCTION("""COMPUTED_VALUE"""),"Karina Fernanda Travagim Viturino")</f>
        <v>Karina Fernanda Travagim Viturino</v>
      </c>
      <c r="C698" s="24" t="str">
        <f>IFERROR(__xludf.DUMMYFUNCTION("""COMPUTED_VALUE"""),"Ilhéus, BA")</f>
        <v>Ilhéus, BA</v>
      </c>
      <c r="D698" s="24" t="str">
        <f>IFERROR(__xludf.DUMMYFUNCTION("""COMPUTED_VALUE"""),"Editus")</f>
        <v>Editus</v>
      </c>
      <c r="E698" s="25">
        <f>IFERROR(__xludf.DUMMYFUNCTION("""COMPUTED_VALUE"""),2015.0)</f>
        <v>2015</v>
      </c>
      <c r="F698" s="24" t="str">
        <f>IFERROR(__xludf.DUMMYFUNCTION("""COMPUTED_VALUE"""),"Geografia (Ensino fundamental) – Estudo e ensino); Geografia e educação")</f>
        <v>Geografia (Ensino fundamental) – Estudo e ensino); Geografia e educação</v>
      </c>
      <c r="G698" s="28" t="str">
        <f>IFERROR(__xludf.DUMMYFUNCTION("""COMPUTED_VALUE"""),"9788574551883")</f>
        <v>9788574551883</v>
      </c>
      <c r="H698" s="29" t="str">
        <f>IFERROR(__xludf.DUMMYFUNCTION("""COMPUTED_VALUE"""),"http://www.uesc.br/editora/livrosdigitais2016/os_trabalhos_de_campo_no_ensino_de_geografia.pdf")</f>
        <v>http://www.uesc.br/editora/livrosdigitais2016/os_trabalhos_de_campo_no_ensino_de_geografia.pdf</v>
      </c>
      <c r="I698" s="24" t="str">
        <f>IFERROR(__xludf.DUMMYFUNCTION("""COMPUTED_VALUE"""),"Ciências Humanas")</f>
        <v>Ciências Humanas</v>
      </c>
    </row>
    <row r="699">
      <c r="A699" s="24" t="str">
        <f>IFERROR(__xludf.DUMMYFUNCTION("""COMPUTED_VALUE"""),"Outras mulheres: mulheres negras brasileiras ao final da primeira década do século XXI")</f>
        <v>Outras mulheres: mulheres negras brasileiras ao final da primeira década do século XXI</v>
      </c>
      <c r="B699" s="24" t="str">
        <f>IFERROR(__xludf.DUMMYFUNCTION("""COMPUTED_VALUE"""),"Denise Pini Rosalem da Fonseca; Tereza Marques de Oliveira Lima; Organizadoras")</f>
        <v>Denise Pini Rosalem da Fonseca; Tereza Marques de Oliveira Lima; Organizadoras</v>
      </c>
      <c r="C699" s="24" t="str">
        <f>IFERROR(__xludf.DUMMYFUNCTION("""COMPUTED_VALUE"""),"Rio de Janeiro")</f>
        <v>Rio de Janeiro</v>
      </c>
      <c r="D699" s="24" t="str">
        <f>IFERROR(__xludf.DUMMYFUNCTION("""COMPUTED_VALUE"""),"Editora PUC Rio")</f>
        <v>Editora PUC Rio</v>
      </c>
      <c r="E699" s="25">
        <f>IFERROR(__xludf.DUMMYFUNCTION("""COMPUTED_VALUE"""),2012.0)</f>
        <v>2012</v>
      </c>
      <c r="F699" s="24" t="str">
        <f>IFERROR(__xludf.DUMMYFUNCTION("""COMPUTED_VALUE"""),"Mulheres negras - Brasil")</f>
        <v>Mulheres negras - Brasil</v>
      </c>
      <c r="G699" s="28" t="str">
        <f>IFERROR(__xludf.DUMMYFUNCTION("""COMPUTED_VALUE"""),"9788580060867")</f>
        <v>9788580060867</v>
      </c>
      <c r="H699" s="29" t="str">
        <f>IFERROR(__xludf.DUMMYFUNCTION("""COMPUTED_VALUE"""),"http://www.editora.puc-rio.br/media/ebook_outras_mulheres.pdf")</f>
        <v>http://www.editora.puc-rio.br/media/ebook_outras_mulheres.pdf</v>
      </c>
      <c r="I699" s="24" t="str">
        <f>IFERROR(__xludf.DUMMYFUNCTION("""COMPUTED_VALUE"""),"Ciências Humanas")</f>
        <v>Ciências Humanas</v>
      </c>
    </row>
    <row r="700">
      <c r="A700" s="24" t="str">
        <f>IFERROR(__xludf.DUMMYFUNCTION("""COMPUTED_VALUE"""),"Pacifismo e cooperação nas relações internacionais teoria e prática ")</f>
        <v>Pacifismo e cooperação nas relações internacionais teoria e prática </v>
      </c>
      <c r="B700" s="24" t="str">
        <f>IFERROR(__xludf.DUMMYFUNCTION("""COMPUTED_VALUE"""),"(org.) Rafael Salatini; Henrique Sartori de Almeida Prado")</f>
        <v>(org.) Rafael Salatini; Henrique Sartori de Almeida Prado</v>
      </c>
      <c r="C700" s="24" t="str">
        <f>IFERROR(__xludf.DUMMYFUNCTION("""COMPUTED_VALUE"""),"Dourados, MS")</f>
        <v>Dourados, MS</v>
      </c>
      <c r="D700" s="24" t="str">
        <f>IFERROR(__xludf.DUMMYFUNCTION("""COMPUTED_VALUE"""),"Editora da UFGD")</f>
        <v>Editora da UFGD</v>
      </c>
      <c r="E700" s="25">
        <f>IFERROR(__xludf.DUMMYFUNCTION("""COMPUTED_VALUE"""),2013.0)</f>
        <v>2013</v>
      </c>
      <c r="F700" s="24" t="str">
        <f>IFERROR(__xludf.DUMMYFUNCTION("""COMPUTED_VALUE"""),"Relações internacionais – Mercosul; Pacifismo; Cooperação internacional")</f>
        <v>Relações internacionais – Mercosul; Pacifismo; Cooperação internacional</v>
      </c>
      <c r="G700" s="28" t="str">
        <f>IFERROR(__xludf.DUMMYFUNCTION("""COMPUTED_VALUE"""),"9788581470504")</f>
        <v>9788581470504</v>
      </c>
      <c r="H700" s="29" t="str">
        <f>IFERROR(__xludf.DUMMYFUNCTION("""COMPUTED_VALUE"""),"http://omp.ufgd.edu.br/omp/index.php/livrosabertos/catalog/view/163/182/463-1")</f>
        <v>http://omp.ufgd.edu.br/omp/index.php/livrosabertos/catalog/view/163/182/463-1</v>
      </c>
      <c r="I700" s="24" t="str">
        <f>IFERROR(__xludf.DUMMYFUNCTION("""COMPUTED_VALUE"""),"Ciências Humanas")</f>
        <v>Ciências Humanas</v>
      </c>
    </row>
    <row r="701">
      <c r="A701" s="24" t="str">
        <f>IFERROR(__xludf.DUMMYFUNCTION("""COMPUTED_VALUE"""),"Paisagens do sertão carioca: floresta e cidade")</f>
        <v>Paisagens do sertão carioca: floresta e cidade</v>
      </c>
      <c r="B701" s="24" t="str">
        <f>IFERROR(__xludf.DUMMYFUNCTION("""COMPUTED_VALUE"""),"Rogério Oliveira e Annelise Fernandez, organizadores")</f>
        <v>Rogério Oliveira e Annelise Fernandez, organizadores</v>
      </c>
      <c r="C701" s="24" t="str">
        <f>IFERROR(__xludf.DUMMYFUNCTION("""COMPUTED_VALUE"""),"Rio de Janeiro")</f>
        <v>Rio de Janeiro</v>
      </c>
      <c r="D701" s="24" t="str">
        <f>IFERROR(__xludf.DUMMYFUNCTION("""COMPUTED_VALUE"""),"Editora PUC Rio")</f>
        <v>Editora PUC Rio</v>
      </c>
      <c r="E701" s="25">
        <f>IFERROR(__xludf.DUMMYFUNCTION("""COMPUTED_VALUE"""),2020.0)</f>
        <v>2020</v>
      </c>
      <c r="F701" s="24" t="str">
        <f>IFERROR(__xludf.DUMMYFUNCTION("""COMPUTED_VALUE"""),"Rio de Janeiro (RJ) – Descrições e viagens. Urbanização – Rio de Janeiro (RJ). Florestas – Rio de Janeiro (RJ). Rio de Janeiro (RJ) – História")</f>
        <v>Rio de Janeiro (RJ) – Descrições e viagens. Urbanização – Rio de Janeiro (RJ). Florestas – Rio de Janeiro (RJ). Rio de Janeiro (RJ) – História</v>
      </c>
      <c r="G701" s="28" t="str">
        <f>IFERROR(__xludf.DUMMYFUNCTION("""COMPUTED_VALUE"""),"9786599019401")</f>
        <v>9786599019401</v>
      </c>
      <c r="H701" s="29" t="str">
        <f>IFERROR(__xludf.DUMMYFUNCTION("""COMPUTED_VALUE"""),"http://www.editora.puc-rio.br/media/Paisagens_do_sertao_carioca%20(1).pdf")</f>
        <v>http://www.editora.puc-rio.br/media/Paisagens_do_sertao_carioca%20(1).pdf</v>
      </c>
      <c r="I701" s="24" t="str">
        <f>IFERROR(__xludf.DUMMYFUNCTION("""COMPUTED_VALUE"""),"Ciências Humanas")</f>
        <v>Ciências Humanas</v>
      </c>
    </row>
    <row r="702">
      <c r="A702" s="24" t="str">
        <f>IFERROR(__xludf.DUMMYFUNCTION("""COMPUTED_VALUE"""),"Paisagens francesas: terroirs, cidades e litorais")</f>
        <v>Paisagens francesas: terroirs, cidades e litorais</v>
      </c>
      <c r="B702" s="24" t="str">
        <f>IFERROR(__xludf.DUMMYFUNCTION("""COMPUTED_VALUE"""),"Andrea de Castro Panizza (org.)")</f>
        <v>Andrea de Castro Panizza (org.)</v>
      </c>
      <c r="C702" s="24" t="str">
        <f>IFERROR(__xludf.DUMMYFUNCTION("""COMPUTED_VALUE"""),"Campo Mourão, PR")</f>
        <v>Campo Mourão, PR</v>
      </c>
      <c r="D702" s="24" t="str">
        <f>IFERROR(__xludf.DUMMYFUNCTION("""COMPUTED_VALUE"""),"Editora Fecilcam")</f>
        <v>Editora Fecilcam</v>
      </c>
      <c r="E702" s="25">
        <f>IFERROR(__xludf.DUMMYFUNCTION("""COMPUTED_VALUE"""),2010.0)</f>
        <v>2010</v>
      </c>
      <c r="F702" s="24" t="str">
        <f>IFERROR(__xludf.DUMMYFUNCTION("""COMPUTED_VALUE"""),"Geografia. Paisagem. Terroirs. Cidades. Litorais")</f>
        <v>Geografia. Paisagem. Terroirs. Cidades. Litorais</v>
      </c>
      <c r="G702" s="28" t="str">
        <f>IFERROR(__xludf.DUMMYFUNCTION("""COMPUTED_VALUE"""),"9788588753143")</f>
        <v>9788588753143</v>
      </c>
      <c r="H702" s="29" t="str">
        <f>IFERROR(__xludf.DUMMYFUNCTION("""COMPUTED_VALUE"""),"http://campomourao.unespar.edu.br/editora/obras-digitais/paisagens-francesas-terroirs-cidades-e-litorais")</f>
        <v>http://campomourao.unespar.edu.br/editora/obras-digitais/paisagens-francesas-terroirs-cidades-e-litorais</v>
      </c>
      <c r="I702" s="24" t="str">
        <f>IFERROR(__xludf.DUMMYFUNCTION("""COMPUTED_VALUE"""),"Ciências Humanas")</f>
        <v>Ciências Humanas</v>
      </c>
    </row>
    <row r="703">
      <c r="A703" s="24" t="str">
        <f>IFERROR(__xludf.DUMMYFUNCTION("""COMPUTED_VALUE"""),"Para Além da Pedra e Cal")</f>
        <v>Para Além da Pedra e Cal</v>
      </c>
      <c r="B703" s="24" t="str">
        <f>IFERROR(__xludf.DUMMYFUNCTION("""COMPUTED_VALUE"""),"Maria Jackeline Feitosa Carvalho")</f>
        <v>Maria Jackeline Feitosa Carvalho</v>
      </c>
      <c r="C703" s="24" t="str">
        <f>IFERROR(__xludf.DUMMYFUNCTION("""COMPUTED_VALUE"""),"Campina Grande")</f>
        <v>Campina Grande</v>
      </c>
      <c r="D703" s="24" t="str">
        <f>IFERROR(__xludf.DUMMYFUNCTION("""COMPUTED_VALUE"""),"EDUEPB")</f>
        <v>EDUEPB</v>
      </c>
      <c r="E703" s="25">
        <f>IFERROR(__xludf.DUMMYFUNCTION("""COMPUTED_VALUE"""),2017.0)</f>
        <v>2017</v>
      </c>
      <c r="F703" s="24" t="str">
        <f>IFERROR(__xludf.DUMMYFUNCTION("""COMPUTED_VALUE"""),"História. Campina Grande/PB. Mudanças urbanas. Urbanização e arquitetura. Historiografia. Biografia")</f>
        <v>História. Campina Grande/PB. Mudanças urbanas. Urbanização e arquitetura. Historiografia. Biografia</v>
      </c>
      <c r="G703" s="28" t="str">
        <f>IFERROR(__xludf.DUMMYFUNCTION("""COMPUTED_VALUE"""),"9788578794538")</f>
        <v>9788578794538</v>
      </c>
      <c r="H703" s="29" t="str">
        <f>IFERROR(__xludf.DUMMYFUNCTION("""COMPUTED_VALUE"""),"http://eduepb.uepb.edu.br/download/para-alem-da-pedra-e-cal/?wpdmdl=206&amp;amp;masterkey=5af99f895121f")</f>
        <v>http://eduepb.uepb.edu.br/download/para-alem-da-pedra-e-cal/?wpdmdl=206&amp;amp;masterkey=5af99f895121f</v>
      </c>
      <c r="I703" s="24" t="str">
        <f>IFERROR(__xludf.DUMMYFUNCTION("""COMPUTED_VALUE"""),"Ciências Humanas")</f>
        <v>Ciências Humanas</v>
      </c>
    </row>
    <row r="704">
      <c r="A704" s="24" t="str">
        <f>IFERROR(__xludf.DUMMYFUNCTION("""COMPUTED_VALUE"""),"Paradoxos do progresso: a dialética da relação mulher, casamento e trabalho")</f>
        <v>Paradoxos do progresso: a dialética da relação mulher, casamento e trabalho</v>
      </c>
      <c r="B704" s="24" t="str">
        <f>IFERROR(__xludf.DUMMYFUNCTION("""COMPUTED_VALUE"""),"Maria Beatriz Nader")</f>
        <v>Maria Beatriz Nader</v>
      </c>
      <c r="C704" s="24" t="str">
        <f>IFERROR(__xludf.DUMMYFUNCTION("""COMPUTED_VALUE"""),"Vitória")</f>
        <v>Vitória</v>
      </c>
      <c r="D704" s="24" t="str">
        <f>IFERROR(__xludf.DUMMYFUNCTION("""COMPUTED_VALUE"""),"EDUFES")</f>
        <v>EDUFES</v>
      </c>
      <c r="E704" s="25">
        <f>IFERROR(__xludf.DUMMYFUNCTION("""COMPUTED_VALUE"""),2013.0)</f>
        <v>2013</v>
      </c>
      <c r="F704" s="24" t="str">
        <f>IFERROR(__xludf.DUMMYFUNCTION("""COMPUTED_VALUE"""),"Mulheres; Emprego; Família; Casamento; Mercado de trabalho")</f>
        <v>Mulheres; Emprego; Família; Casamento; Mercado de trabalho</v>
      </c>
      <c r="G704" s="28" t="str">
        <f>IFERROR(__xludf.DUMMYFUNCTION("""COMPUTED_VALUE"""),"9788577721610")</f>
        <v>9788577721610</v>
      </c>
      <c r="H704" s="29" t="str">
        <f>IFERROR(__xludf.DUMMYFUNCTION("""COMPUTED_VALUE"""),"http://repositorio.ufes.br/bitstream/10/818/1/livro%20edufes%20Paradoxos%20do%20progresso%20a%20dial%C3%A9tica%20da%20rela%C3%A7%C3%A3o%20mulher%2C%20casamento%20e%20trabalho.pdf")</f>
        <v>http://repositorio.ufes.br/bitstream/10/818/1/livro%20edufes%20Paradoxos%20do%20progresso%20a%20dial%C3%A9tica%20da%20rela%C3%A7%C3%A3o%20mulher%2C%20casamento%20e%20trabalho.pdf</v>
      </c>
      <c r="I704" s="24" t="str">
        <f>IFERROR(__xludf.DUMMYFUNCTION("""COMPUTED_VALUE"""),"Ciências Humanas")</f>
        <v>Ciências Humanas</v>
      </c>
    </row>
    <row r="705">
      <c r="A705" s="24" t="str">
        <f>IFERROR(__xludf.DUMMYFUNCTION("""COMPUTED_VALUE"""),"Participação em cooperativas e associações: o porquê das pessoas se filiarem")</f>
        <v>Participação em cooperativas e associações: o porquê das pessoas se filiarem</v>
      </c>
      <c r="B705" s="24" t="str">
        <f>IFERROR(__xludf.DUMMYFUNCTION("""COMPUTED_VALUE"""),"Raimundo Bonfim dos Santos")</f>
        <v>Raimundo Bonfim dos Santos</v>
      </c>
      <c r="C705" s="24" t="str">
        <f>IFERROR(__xludf.DUMMYFUNCTION("""COMPUTED_VALUE"""),"Ilhéus, BA")</f>
        <v>Ilhéus, BA</v>
      </c>
      <c r="D705" s="24" t="str">
        <f>IFERROR(__xludf.DUMMYFUNCTION("""COMPUTED_VALUE"""),"Editus")</f>
        <v>Editus</v>
      </c>
      <c r="E705" s="25">
        <f>IFERROR(__xludf.DUMMYFUNCTION("""COMPUTED_VALUE"""),2016.0)</f>
        <v>2016</v>
      </c>
      <c r="F705" s="24" t="str">
        <f>IFERROR(__xludf.DUMMYFUNCTION("""COMPUTED_VALUE"""),"Cooperativismo; Associativismo. I")</f>
        <v>Cooperativismo; Associativismo. I</v>
      </c>
      <c r="G705" s="28" t="str">
        <f>IFERROR(__xludf.DUMMYFUNCTION("""COMPUTED_VALUE"""),"9788574554297")</f>
        <v>9788574554297</v>
      </c>
      <c r="H705" s="29" t="str">
        <f>IFERROR(__xludf.DUMMYFUNCTION("""COMPUTED_VALUE"""),"http://www.uesc.br/editora/livrosdigitais2017/particpacao_cooperativas_associacoes.pdf")</f>
        <v>http://www.uesc.br/editora/livrosdigitais2017/particpacao_cooperativas_associacoes.pdf</v>
      </c>
      <c r="I705" s="24" t="str">
        <f>IFERROR(__xludf.DUMMYFUNCTION("""COMPUTED_VALUE"""),"Ciências Humanas")</f>
        <v>Ciências Humanas</v>
      </c>
    </row>
    <row r="706">
      <c r="A706" s="24" t="str">
        <f>IFERROR(__xludf.DUMMYFUNCTION("""COMPUTED_VALUE"""),"Participação popular na elaboração de orçamentos públicos municipais: a experiência do Espírito Santo: 1983 a 1994")</f>
        <v>Participação popular na elaboração de orçamentos públicos municipais: a experiência do Espírito Santo: 1983 a 1994</v>
      </c>
      <c r="B706" s="24" t="str">
        <f>IFERROR(__xludf.DUMMYFUNCTION("""COMPUTED_VALUE"""),"Fernando João Pignaton")</f>
        <v>Fernando João Pignaton</v>
      </c>
      <c r="C706" s="24" t="str">
        <f>IFERROR(__xludf.DUMMYFUNCTION("""COMPUTED_VALUE"""),"Vitória")</f>
        <v>Vitória</v>
      </c>
      <c r="D706" s="24" t="str">
        <f>IFERROR(__xludf.DUMMYFUNCTION("""COMPUTED_VALUE"""),"EDUFES")</f>
        <v>EDUFES</v>
      </c>
      <c r="E706" s="25">
        <f>IFERROR(__xludf.DUMMYFUNCTION("""COMPUTED_VALUE"""),2014.0)</f>
        <v>2014</v>
      </c>
      <c r="F706" s="24" t="str">
        <f>IFERROR(__xludf.DUMMYFUNCTION("""COMPUTED_VALUE"""),"Participação popular; Participação política; Cidadania; Democracia")</f>
        <v>Participação popular; Participação política; Cidadania; Democracia</v>
      </c>
      <c r="G706" s="28" t="str">
        <f>IFERROR(__xludf.DUMMYFUNCTION("""COMPUTED_VALUE"""),"9788577722686")</f>
        <v>9788577722686</v>
      </c>
      <c r="H706" s="29" t="str">
        <f>IFERROR(__xludf.DUMMYFUNCTION("""COMPUTED_VALUE"""),"http://repositorio.ufes.br/bitstream/10/1230/1/Livro%20edufes%20Participa%C3%A7%C3%A3o%20popular%20na%20elabora%C3%A7%C3%A3o%20de%20or%C3%A7amentos%20p%C3%BAblicos%20municipais%20a%20experi%C3%AAncia%20do%20Esp%C3%ADrito%20Santo%2C%201983%20a%201994.pdf")</f>
        <v>http://repositorio.ufes.br/bitstream/10/1230/1/Livro%20edufes%20Participa%C3%A7%C3%A3o%20popular%20na%20elabora%C3%A7%C3%A3o%20de%20or%C3%A7amentos%20p%C3%BAblicos%20municipais%20a%20experi%C3%AAncia%20do%20Esp%C3%ADrito%20Santo%2C%201983%20a%201994.pdf</v>
      </c>
      <c r="I706" s="24" t="str">
        <f>IFERROR(__xludf.DUMMYFUNCTION("""COMPUTED_VALUE"""),"Ciências Humanas")</f>
        <v>Ciências Humanas</v>
      </c>
    </row>
    <row r="707">
      <c r="A707" s="24" t="str">
        <f>IFERROR(__xludf.DUMMYFUNCTION("""COMPUTED_VALUE"""),"Patrimônio cultural, direito e meio ambiente: educação contextualizada – Arqueologia e diversidade (volume III)")</f>
        <v>Patrimônio cultural, direito e meio ambiente: educação contextualizada – Arqueologia e diversidade (volume III)</v>
      </c>
      <c r="B707" s="24" t="str">
        <f>IFERROR(__xludf.DUMMYFUNCTION("""COMPUTED_VALUE"""),"Campos, Juliano Bitencourt; Rodrigues, Marian Helen da Silva Gomes; Santos, Marcos César Pereira")</f>
        <v>Campos, Juliano Bitencourt; Rodrigues, Marian Helen da Silva Gomes; Santos, Marcos César Pereira</v>
      </c>
      <c r="C707" s="24" t="str">
        <f>IFERROR(__xludf.DUMMYFUNCTION("""COMPUTED_VALUE"""),"Criciúma")</f>
        <v>Criciúma</v>
      </c>
      <c r="D707" s="24" t="str">
        <f>IFERROR(__xludf.DUMMYFUNCTION("""COMPUTED_VALUE"""),"UNESC")</f>
        <v>UNESC</v>
      </c>
      <c r="E707" s="25">
        <f>IFERROR(__xludf.DUMMYFUNCTION("""COMPUTED_VALUE"""),2018.0)</f>
        <v>2018</v>
      </c>
      <c r="F707" s="24" t="str">
        <f>IFERROR(__xludf.DUMMYFUNCTION("""COMPUTED_VALUE"""),"Patrimônio cultural; Educação patrimonial; Patrimônio arqueológico; Patrimônio cultural - Proteção; Patrimônio cultural - Legislação; Conservação histórica")</f>
        <v>Patrimônio cultural; Educação patrimonial; Patrimônio arqueológico; Patrimônio cultural - Proteção; Patrimônio cultural - Legislação; Conservação histórica</v>
      </c>
      <c r="G707" s="28" t="str">
        <f>IFERROR(__xludf.DUMMYFUNCTION("""COMPUTED_VALUE"""),"9788584100897")</f>
        <v>9788584100897</v>
      </c>
      <c r="H707" s="29" t="str">
        <f>IFERROR(__xludf.DUMMYFUNCTION("""COMPUTED_VALUE"""),"http://dx.doi.org/10.18616/pcdma")</f>
        <v>http://dx.doi.org/10.18616/pcdma</v>
      </c>
      <c r="I707" s="24" t="str">
        <f>IFERROR(__xludf.DUMMYFUNCTION("""COMPUTED_VALUE"""),"Ciências Humanas")</f>
        <v>Ciências Humanas</v>
      </c>
    </row>
    <row r="708">
      <c r="A708" s="24" t="str">
        <f>IFERROR(__xludf.DUMMYFUNCTION("""COMPUTED_VALUE"""),"Patrimônio, memória e cultura")</f>
        <v>Patrimônio, memória e cultura</v>
      </c>
      <c r="B708" s="24" t="str">
        <f>IFERROR(__xludf.DUMMYFUNCTION("""COMPUTED_VALUE"""),"Ana Cristina de Souza Mandarino, Estélio Gomberg (org.)")</f>
        <v>Ana Cristina de Souza Mandarino, Estélio Gomberg (org.)</v>
      </c>
      <c r="C708" s="24" t="str">
        <f>IFERROR(__xludf.DUMMYFUNCTION("""COMPUTED_VALUE"""),"Salvador")</f>
        <v>Salvador</v>
      </c>
      <c r="D708" s="24" t="str">
        <f>IFERROR(__xludf.DUMMYFUNCTION("""COMPUTED_VALUE"""),"EDUFBA")</f>
        <v>EDUFBA</v>
      </c>
      <c r="E708" s="25">
        <f>IFERROR(__xludf.DUMMYFUNCTION("""COMPUTED_VALUE"""),2018.0)</f>
        <v>2018</v>
      </c>
      <c r="F708" s="24" t="str">
        <f>IFERROR(__xludf.DUMMYFUNCTION("""COMPUTED_VALUE"""),"Patrimônio Cultural; Memória; Cultura")</f>
        <v>Patrimônio Cultural; Memória; Cultura</v>
      </c>
      <c r="G708" s="28" t="str">
        <f>IFERROR(__xludf.DUMMYFUNCTION("""COMPUTED_VALUE"""),"9788523216856")</f>
        <v>9788523216856</v>
      </c>
      <c r="H708" s="29" t="str">
        <f>IFERROR(__xludf.DUMMYFUNCTION("""COMPUTED_VALUE"""),"http://repositorio.ufba.br/ri/handle/ri/26531")</f>
        <v>http://repositorio.ufba.br/ri/handle/ri/26531</v>
      </c>
      <c r="I708" s="24" t="str">
        <f>IFERROR(__xludf.DUMMYFUNCTION("""COMPUTED_VALUE"""),"Ciências Humanas")</f>
        <v>Ciências Humanas</v>
      </c>
    </row>
    <row r="709">
      <c r="A709" s="24" t="str">
        <f>IFERROR(__xludf.DUMMYFUNCTION("""COMPUTED_VALUE"""),"Paulo de Moraes Marques: Memórias de um Extensionista Rural")</f>
        <v>Paulo de Moraes Marques: Memórias de um Extensionista Rural</v>
      </c>
      <c r="B709" s="24" t="str">
        <f>IFERROR(__xludf.DUMMYFUNCTION("""COMPUTED_VALUE"""),"Josefa Martins da Conceição (org.)")</f>
        <v>Josefa Martins da Conceição (org.)</v>
      </c>
      <c r="C709" s="24" t="str">
        <f>IFERROR(__xludf.DUMMYFUNCTION("""COMPUTED_VALUE"""),"Recife")</f>
        <v>Recife</v>
      </c>
      <c r="D709" s="24" t="str">
        <f>IFERROR(__xludf.DUMMYFUNCTION("""COMPUTED_VALUE"""),"Editora Universitária da UFRPE")</f>
        <v>Editora Universitária da UFRPE</v>
      </c>
      <c r="E709" s="25">
        <f>IFERROR(__xludf.DUMMYFUNCTION("""COMPUTED_VALUE"""),2018.0)</f>
        <v>2018</v>
      </c>
      <c r="F709" s="24" t="str">
        <f>IFERROR(__xludf.DUMMYFUNCTION("""COMPUTED_VALUE"""),"Memória; Biografia; Extensão rural; Extensão universitária")</f>
        <v>Memória; Biografia; Extensão rural; Extensão universitária</v>
      </c>
      <c r="G709" s="28" t="str">
        <f>IFERROR(__xludf.DUMMYFUNCTION("""COMPUTED_VALUE"""),"9788579462924")</f>
        <v>9788579462924</v>
      </c>
      <c r="H709" s="29" t="str">
        <f>IFERROR(__xludf.DUMMYFUNCTION("""COMPUTED_VALUE"""),"https://drive.google.com/file/d/19pCefBvNfm9YbcA7s34ckGeeUQR9Ujs-/view?usp=sharing ")</f>
        <v>https://drive.google.com/file/d/19pCefBvNfm9YbcA7s34ckGeeUQR9Ujs-/view?usp=sharing </v>
      </c>
      <c r="I709" s="24" t="str">
        <f>IFERROR(__xludf.DUMMYFUNCTION("""COMPUTED_VALUE"""),"Ciências Humanas")</f>
        <v>Ciências Humanas</v>
      </c>
    </row>
    <row r="710">
      <c r="A710" s="24" t="str">
        <f>IFERROR(__xludf.DUMMYFUNCTION("""COMPUTED_VALUE"""),"Pequeno manual do anarquista epistemológico")</f>
        <v>Pequeno manual do anarquista epistemológico</v>
      </c>
      <c r="B710" s="24" t="str">
        <f>IFERROR(__xludf.DUMMYFUNCTION("""COMPUTED_VALUE"""),"Paulo S. Terra")</f>
        <v>Paulo S. Terra</v>
      </c>
      <c r="C710" s="24" t="str">
        <f>IFERROR(__xludf.DUMMYFUNCTION("""COMPUTED_VALUE"""),"Ilhéus, BA")</f>
        <v>Ilhéus, BA</v>
      </c>
      <c r="D710" s="24" t="str">
        <f>IFERROR(__xludf.DUMMYFUNCTION("""COMPUTED_VALUE"""),"Editus")</f>
        <v>Editus</v>
      </c>
      <c r="E710" s="25">
        <f>IFERROR(__xludf.DUMMYFUNCTION("""COMPUTED_VALUE"""),2016.0)</f>
        <v>2016</v>
      </c>
      <c r="F710" s="24" t="str">
        <f>IFERROR(__xludf.DUMMYFUNCTION("""COMPUTED_VALUE"""),"Teoria do conhecimento; Feyerabend, Paul; Karl, 1924-1994 - Crítica e interpretação")</f>
        <v>Teoria do conhecimento; Feyerabend, Paul; Karl, 1924-1994 - Crítica e interpretação</v>
      </c>
      <c r="G710" s="28" t="str">
        <f>IFERROR(__xludf.DUMMYFUNCTION("""COMPUTED_VALUE"""),"857455023x")</f>
        <v>857455023x</v>
      </c>
      <c r="H710" s="29" t="str">
        <f>IFERROR(__xludf.DUMMYFUNCTION("""COMPUTED_VALUE"""),"http://www.uesc.br/editora/livrosdigitais2017/pequeno_manual_anarquista.pdf")</f>
        <v>http://www.uesc.br/editora/livrosdigitais2017/pequeno_manual_anarquista.pdf</v>
      </c>
      <c r="I710" s="24" t="str">
        <f>IFERROR(__xludf.DUMMYFUNCTION("""COMPUTED_VALUE"""),"Ciências Humanas")</f>
        <v>Ciências Humanas</v>
      </c>
    </row>
    <row r="711">
      <c r="A711" s="24" t="str">
        <f>IFERROR(__xludf.DUMMYFUNCTION("""COMPUTED_VALUE"""),"Pequenos Ensaios sobre Grandes Filósofos")</f>
        <v>Pequenos Ensaios sobre Grandes Filósofos</v>
      </c>
      <c r="B711" s="24" t="str">
        <f>IFERROR(__xludf.DUMMYFUNCTION("""COMPUTED_VALUE"""),"Maria Simone Marinho Nogueira; Reginaldo Oliveira Silva (org).")</f>
        <v>Maria Simone Marinho Nogueira; Reginaldo Oliveira Silva (org).</v>
      </c>
      <c r="C711" s="24" t="str">
        <f>IFERROR(__xludf.DUMMYFUNCTION("""COMPUTED_VALUE"""),"Campina Grande")</f>
        <v>Campina Grande</v>
      </c>
      <c r="D711" s="24" t="str">
        <f>IFERROR(__xludf.DUMMYFUNCTION("""COMPUTED_VALUE"""),"EDUEPB")</f>
        <v>EDUEPB</v>
      </c>
      <c r="E711" s="25">
        <f>IFERROR(__xludf.DUMMYFUNCTION("""COMPUTED_VALUE"""),2017.0)</f>
        <v>2017</v>
      </c>
      <c r="F711" s="24" t="str">
        <f>IFERROR(__xludf.DUMMYFUNCTION("""COMPUTED_VALUE"""),"Filosofia. Virtudes. Direito moral. Ética. História da filosofia")</f>
        <v>Filosofia. Virtudes. Direito moral. Ética. História da filosofia</v>
      </c>
      <c r="G711" s="28" t="str">
        <f>IFERROR(__xludf.DUMMYFUNCTION("""COMPUTED_VALUE"""),"9788578794026")</f>
        <v>9788578794026</v>
      </c>
      <c r="H711" s="29" t="str">
        <f>IFERROR(__xludf.DUMMYFUNCTION("""COMPUTED_VALUE"""),"http://eduepb.uepb.edu.br/download/pequenos-ensaios-sobre-grandes-filosofos/?wpdmdl=207&amp;amp;masterkey=5af99fdaed21b")</f>
        <v>http://eduepb.uepb.edu.br/download/pequenos-ensaios-sobre-grandes-filosofos/?wpdmdl=207&amp;amp;masterkey=5af99fdaed21b</v>
      </c>
      <c r="I711" s="24" t="str">
        <f>IFERROR(__xludf.DUMMYFUNCTION("""COMPUTED_VALUE"""),"Ciências Humanas")</f>
        <v>Ciências Humanas</v>
      </c>
    </row>
    <row r="712">
      <c r="A712" s="24" t="str">
        <f>IFERROR(__xludf.DUMMYFUNCTION("""COMPUTED_VALUE"""),"Percursos de formação de professores de matemática")</f>
        <v>Percursos de formação de professores de matemática</v>
      </c>
      <c r="B712" s="24" t="str">
        <f>IFERROR(__xludf.DUMMYFUNCTION("""COMPUTED_VALUE"""),"José Ronaldo Melo")</f>
        <v>José Ronaldo Melo</v>
      </c>
      <c r="C712" s="24" t="str">
        <f>IFERROR(__xludf.DUMMYFUNCTION("""COMPUTED_VALUE"""),"Rio Branco")</f>
        <v>Rio Branco</v>
      </c>
      <c r="D712" s="24" t="str">
        <f>IFERROR(__xludf.DUMMYFUNCTION("""COMPUTED_VALUE"""),"Edufac")</f>
        <v>Edufac</v>
      </c>
      <c r="E712" s="25">
        <f>IFERROR(__xludf.DUMMYFUNCTION("""COMPUTED_VALUE"""),2016.0)</f>
        <v>2016</v>
      </c>
      <c r="F712" s="24" t="str">
        <f>IFERROR(__xludf.DUMMYFUNCTION("""COMPUTED_VALUE"""),"Formação - professores - matemática; Professores - formação docente; Professores - práticas pedagógicas")</f>
        <v>Formação - professores - matemática; Professores - formação docente; Professores - práticas pedagógicas</v>
      </c>
      <c r="G712" s="28" t="str">
        <f>IFERROR(__xludf.DUMMYFUNCTION("""COMPUTED_VALUE"""),"9788582360316")</f>
        <v>9788582360316</v>
      </c>
      <c r="H712" s="29" t="str">
        <f>IFERROR(__xludf.DUMMYFUNCTION("""COMPUTED_VALUE"""),"http://www2.ufac.br/editora/livros/percursos-de-formacao-de-professores-de-matematica.pdf")</f>
        <v>http://www2.ufac.br/editora/livros/percursos-de-formacao-de-professores-de-matematica.pdf</v>
      </c>
      <c r="I712" s="24" t="str">
        <f>IFERROR(__xludf.DUMMYFUNCTION("""COMPUTED_VALUE"""),"Ciências Humanas")</f>
        <v>Ciências Humanas</v>
      </c>
    </row>
    <row r="713">
      <c r="A713" s="24" t="str">
        <f>IFERROR(__xludf.DUMMYFUNCTION("""COMPUTED_VALUE"""),"Percursos do olhar: comunicação, narrativa e memória")</f>
        <v>Percursos do olhar: comunicação, narrativa e memória</v>
      </c>
      <c r="B713" s="24" t="str">
        <f>IFERROR(__xludf.DUMMYFUNCTION("""COMPUTED_VALUE"""),"Marialva Carlos Barbosa")</f>
        <v>Marialva Carlos Barbosa</v>
      </c>
      <c r="C713" s="24" t="str">
        <f>IFERROR(__xludf.DUMMYFUNCTION("""COMPUTED_VALUE"""),"Niterói, RJ")</f>
        <v>Niterói, RJ</v>
      </c>
      <c r="D713" s="24" t="str">
        <f>IFERROR(__xludf.DUMMYFUNCTION("""COMPUTED_VALUE"""),"EDUFF")</f>
        <v>EDUFF</v>
      </c>
      <c r="E713" s="25">
        <f>IFERROR(__xludf.DUMMYFUNCTION("""COMPUTED_VALUE"""),2007.0)</f>
        <v>2007</v>
      </c>
      <c r="F713" s="24" t="str">
        <f>IFERROR(__xludf.DUMMYFUNCTION("""COMPUTED_VALUE"""),"Comunicação, Memória")</f>
        <v>Comunicação, Memória</v>
      </c>
      <c r="G713" s="28" t="str">
        <f>IFERROR(__xludf.DUMMYFUNCTION("""COMPUTED_VALUE"""),"9788522804467")</f>
        <v>9788522804467</v>
      </c>
      <c r="H713" s="29" t="str">
        <f>IFERROR(__xludf.DUMMYFUNCTION("""COMPUTED_VALUE"""),"http://www.eduff.uff.br/ebooks/O-poder-de-domar-do-fraco.pdf")</f>
        <v>http://www.eduff.uff.br/ebooks/O-poder-de-domar-do-fraco.pdf</v>
      </c>
      <c r="I713" s="24" t="str">
        <f>IFERROR(__xludf.DUMMYFUNCTION("""COMPUTED_VALUE"""),"Ciências Humanas")</f>
        <v>Ciências Humanas</v>
      </c>
    </row>
    <row r="714">
      <c r="A714" s="24" t="str">
        <f>IFERROR(__xludf.DUMMYFUNCTION("""COMPUTED_VALUE"""),"Percursos na extensão universitária : saindo da torre de marfim")</f>
        <v>Percursos na extensão universitária : saindo da torre de marfim</v>
      </c>
      <c r="B714" s="24" t="str">
        <f>IFERROR(__xludf.DUMMYFUNCTION("""COMPUTED_VALUE"""),"Organizadores, Felipe Addor; Sidney Lianza.")</f>
        <v>Organizadores, Felipe Addor; Sidney Lianza.</v>
      </c>
      <c r="C714" s="24" t="str">
        <f>IFERROR(__xludf.DUMMYFUNCTION("""COMPUTED_VALUE"""),"Rio de Janeiro")</f>
        <v>Rio de Janeiro</v>
      </c>
      <c r="D714" s="24" t="str">
        <f>IFERROR(__xludf.DUMMYFUNCTION("""COMPUTED_VALUE"""),"Editora UFRJ")</f>
        <v>Editora UFRJ</v>
      </c>
      <c r="E714" s="25">
        <f>IFERROR(__xludf.DUMMYFUNCTION("""COMPUTED_VALUE"""),2015.0)</f>
        <v>2015</v>
      </c>
      <c r="F714" s="24" t="str">
        <f>IFERROR(__xludf.DUMMYFUNCTION("""COMPUTED_VALUE"""),"Extensão universitária; Formação sociotécnica; Desenvolvimento local")</f>
        <v>Extensão universitária; Formação sociotécnica; Desenvolvimento local</v>
      </c>
      <c r="G714" s="28" t="str">
        <f>IFERROR(__xludf.DUMMYFUNCTION("""COMPUTED_VALUE"""),"9788571083905")</f>
        <v>9788571083905</v>
      </c>
      <c r="H714" s="29" t="str">
        <f>IFERROR(__xludf.DUMMYFUNCTION("""COMPUTED_VALUE"""),"http://www.editora.ufrj.br/DynamicItems/livrosabertos-1/soltec1_percursos_na_extensao_universitaria.pdf")</f>
        <v>http://www.editora.ufrj.br/DynamicItems/livrosabertos-1/soltec1_percursos_na_extensao_universitaria.pdf</v>
      </c>
      <c r="I714" s="24" t="str">
        <f>IFERROR(__xludf.DUMMYFUNCTION("""COMPUTED_VALUE"""),"Ciências Humanas")</f>
        <v>Ciências Humanas</v>
      </c>
    </row>
    <row r="715">
      <c r="A715" s="24" t="str">
        <f>IFERROR(__xludf.DUMMYFUNCTION("""COMPUTED_VALUE"""),"Percursos teórico-metodológicos da construção de teses na área do Desenvolvimento Regional: da escolha das temáticas aos resultados e conclusões")</f>
        <v>Percursos teórico-metodológicos da construção de teses na área do Desenvolvimento Regional: da escolha das temáticas aos resultados e conclusões</v>
      </c>
      <c r="B715" s="24" t="str">
        <f>IFERROR(__xludf.DUMMYFUNCTION("""COMPUTED_VALUE"""),"Alcione Talaska, Péricles Purper Thiele")</f>
        <v>Alcione Talaska, Péricles Purper Thiele</v>
      </c>
      <c r="C715" s="24" t="str">
        <f>IFERROR(__xludf.DUMMYFUNCTION("""COMPUTED_VALUE"""),"Blumenau")</f>
        <v>Blumenau</v>
      </c>
      <c r="D715" s="24" t="str">
        <f>IFERROR(__xludf.DUMMYFUNCTION("""COMPUTED_VALUE"""),"Instituto Federal Catarinense")</f>
        <v>Instituto Federal Catarinense</v>
      </c>
      <c r="E715" s="25">
        <f>IFERROR(__xludf.DUMMYFUNCTION("""COMPUTED_VALUE"""),2020.0)</f>
        <v>2020</v>
      </c>
      <c r="F715" s="24" t="str">
        <f>IFERROR(__xludf.DUMMYFUNCTION("""COMPUTED_VALUE"""),"Desenvolvimento regional – Brasil. Agronegócio. Políticas; territoriais. Regiões carboníferas – Rio Grande do Sul")</f>
        <v>Desenvolvimento regional – Brasil. Agronegócio. Políticas; territoriais. Regiões carboníferas – Rio Grande do Sul</v>
      </c>
      <c r="G715" s="28" t="str">
        <f>IFERROR(__xludf.DUMMYFUNCTION("""COMPUTED_VALUE"""),"9786588089002")</f>
        <v>9786588089002</v>
      </c>
      <c r="H715" s="29" t="str">
        <f>IFERROR(__xludf.DUMMYFUNCTION("""COMPUTED_VALUE"""),"https://editora.ifc.edu.br/2020/07/21/percursos-teorico-metodologicos-da-construcao-de-teses-na-area-do-desenvolvimento-regional-da-escolha-das-tematicas-aos-resultados-e-conclusoes/")</f>
        <v>https://editora.ifc.edu.br/2020/07/21/percursos-teorico-metodologicos-da-construcao-de-teses-na-area-do-desenvolvimento-regional-da-escolha-das-tematicas-aos-resultados-e-conclusoes/</v>
      </c>
      <c r="I715" s="24" t="str">
        <f>IFERROR(__xludf.DUMMYFUNCTION("""COMPUTED_VALUE"""),"Ciências Humanas")</f>
        <v>Ciências Humanas</v>
      </c>
    </row>
    <row r="716">
      <c r="A716" s="24" t="str">
        <f>IFERROR(__xludf.DUMMYFUNCTION("""COMPUTED_VALUE"""),"Perfil e trajetórias acadêmicas de ingressos e egressos dos bacharelados interdisciplinares da Universidade Federal da Bahia")</f>
        <v>Perfil e trajetórias acadêmicas de ingressos e egressos dos bacharelados interdisciplinares da Universidade Federal da Bahia</v>
      </c>
      <c r="B716" s="24" t="str">
        <f>IFERROR(__xludf.DUMMYFUNCTION("""COMPUTED_VALUE"""),"Sonia Maria Rocha Sampaio, Maria Thereza Ávila Dantas Coelho, organizadoras")</f>
        <v>Sonia Maria Rocha Sampaio, Maria Thereza Ávila Dantas Coelho, organizadoras</v>
      </c>
      <c r="C716" s="24" t="str">
        <f>IFERROR(__xludf.DUMMYFUNCTION("""COMPUTED_VALUE"""),"Salvador")</f>
        <v>Salvador</v>
      </c>
      <c r="D716" s="24" t="str">
        <f>IFERROR(__xludf.DUMMYFUNCTION("""COMPUTED_VALUE"""),"EDUFBA")</f>
        <v>EDUFBA</v>
      </c>
      <c r="E716" s="25">
        <f>IFERROR(__xludf.DUMMYFUNCTION("""COMPUTED_VALUE"""),2019.0)</f>
        <v>2019</v>
      </c>
      <c r="F716" s="24" t="str">
        <f>IFERROR(__xludf.DUMMYFUNCTION("""COMPUTED_VALUE"""),"Universidade Federal da Bahia; Bacharelado; Estudantes universitários; Condições sociais")</f>
        <v>Universidade Federal da Bahia; Bacharelado; Estudantes universitários; Condições sociais</v>
      </c>
      <c r="G716" s="28" t="str">
        <f>IFERROR(__xludf.DUMMYFUNCTION("""COMPUTED_VALUE"""),"9788523218317")</f>
        <v>9788523218317</v>
      </c>
      <c r="H716" s="29" t="str">
        <f>IFERROR(__xludf.DUMMYFUNCTION("""COMPUTED_VALUE"""),"http://repositorio.ufba.br/ri/handle/ri/29765")</f>
        <v>http://repositorio.ufba.br/ri/handle/ri/29765</v>
      </c>
      <c r="I716" s="24" t="str">
        <f>IFERROR(__xludf.DUMMYFUNCTION("""COMPUTED_VALUE"""),"Ciências Humanas")</f>
        <v>Ciências Humanas</v>
      </c>
    </row>
    <row r="717">
      <c r="A717" s="24" t="str">
        <f>IFERROR(__xludf.DUMMYFUNCTION("""COMPUTED_VALUE"""),"Permanecer na universidade: uma análise etnometodológica sobre estudantes de origem popular na UFBA")</f>
        <v>Permanecer na universidade: uma análise etnometodológica sobre estudantes de origem popular na UFBA</v>
      </c>
      <c r="B717" s="24" t="str">
        <f>IFERROR(__xludf.DUMMYFUNCTION("""COMPUTED_VALUE"""),"Ava da Silva Carvalho Carneiro e Sônia Maria Rocha Sampaio")</f>
        <v>Ava da Silva Carvalho Carneiro e Sônia Maria Rocha Sampaio</v>
      </c>
      <c r="C717" s="24" t="str">
        <f>IFERROR(__xludf.DUMMYFUNCTION("""COMPUTED_VALUE"""),"Salvador")</f>
        <v>Salvador</v>
      </c>
      <c r="D717" s="24" t="str">
        <f>IFERROR(__xludf.DUMMYFUNCTION("""COMPUTED_VALUE"""),"EDUFBA")</f>
        <v>EDUFBA</v>
      </c>
      <c r="E717" s="25">
        <f>IFERROR(__xludf.DUMMYFUNCTION("""COMPUTED_VALUE"""),2014.0)</f>
        <v>2014</v>
      </c>
      <c r="F717" s="24" t="str">
        <f>IFERROR(__xludf.DUMMYFUNCTION("""COMPUTED_VALUE"""),"Ensino superior; Universidade Federal da Bahia; Estudantes universitários; Aspectos sociais; Democratização da educação")</f>
        <v>Ensino superior; Universidade Federal da Bahia; Estudantes universitários; Aspectos sociais; Democratização da educação</v>
      </c>
      <c r="G717" s="28" t="str">
        <f>IFERROR(__xludf.DUMMYFUNCTION("""COMPUTED_VALUE"""),"9788523212797")</f>
        <v>9788523212797</v>
      </c>
      <c r="H717" s="29" t="str">
        <f>IFERROR(__xludf.DUMMYFUNCTION("""COMPUTED_VALUE"""),"http://repositorio.ufba.br/ri/handle/ri/16682")</f>
        <v>http://repositorio.ufba.br/ri/handle/ri/16682</v>
      </c>
      <c r="I717" s="24" t="str">
        <f>IFERROR(__xludf.DUMMYFUNCTION("""COMPUTED_VALUE"""),"Ciências Humanas")</f>
        <v>Ciências Humanas</v>
      </c>
    </row>
    <row r="718">
      <c r="A718" s="24" t="str">
        <f>IFERROR(__xludf.DUMMYFUNCTION("""COMPUTED_VALUE"""),"Pérolas negras – primeiros fios: experiências artísticas e culturais nos fluxos entre África e Brasil")</f>
        <v>Pérolas negras – primeiros fios: experiências artísticas e culturais nos fluxos entre África e Brasil</v>
      </c>
      <c r="B718" s="24" t="str">
        <f>IFERROR(__xludf.DUMMYFUNCTION("""COMPUTED_VALUE"""),"Roberto Conduru")</f>
        <v>Roberto Conduru</v>
      </c>
      <c r="C718" s="24" t="str">
        <f>IFERROR(__xludf.DUMMYFUNCTION("""COMPUTED_VALUE"""),"Rio de Janeiro")</f>
        <v>Rio de Janeiro</v>
      </c>
      <c r="D718" s="24" t="str">
        <f>IFERROR(__xludf.DUMMYFUNCTION("""COMPUTED_VALUE"""),"EdUERJ")</f>
        <v>EdUERJ</v>
      </c>
      <c r="E718" s="25">
        <f>IFERROR(__xludf.DUMMYFUNCTION("""COMPUTED_VALUE"""),2013.0)</f>
        <v>2013</v>
      </c>
      <c r="F718" s="24" t="str">
        <f>IFERROR(__xludf.DUMMYFUNCTION("""COMPUTED_VALUE"""),"Arte brasileira; Influências africanas; Arte; Experiências culturais")</f>
        <v>Arte brasileira; Influências africanas; Arte; Experiências culturais</v>
      </c>
      <c r="G718" s="28" t="str">
        <f>IFERROR(__xludf.DUMMYFUNCTION("""COMPUTED_VALUE"""),"9788575113042")</f>
        <v>9788575113042</v>
      </c>
      <c r="H718" s="29" t="str">
        <f>IFERROR(__xludf.DUMMYFUNCTION("""COMPUTED_VALUE"""),"https://www.eduerj.com/eng/?product=perolas-negras-primeiros-fios-experiencias-artisticas-e-culturais-nos-fluxos-entre-africa-e-brasil-ebook")</f>
        <v>https://www.eduerj.com/eng/?product=perolas-negras-primeiros-fios-experiencias-artisticas-e-culturais-nos-fluxos-entre-africa-e-brasil-ebook</v>
      </c>
      <c r="I718" s="24" t="str">
        <f>IFERROR(__xludf.DUMMYFUNCTION("""COMPUTED_VALUE"""),"Ciências Humanas")</f>
        <v>Ciências Humanas</v>
      </c>
    </row>
    <row r="719">
      <c r="A719" s="24" t="str">
        <f>IFERROR(__xludf.DUMMYFUNCTION("""COMPUTED_VALUE"""),"Pesquisa e educação especial: mapeando produções")</f>
        <v>Pesquisa e educação especial: mapeando produções</v>
      </c>
      <c r="B719" s="24" t="str">
        <f>IFERROR(__xludf.DUMMYFUNCTION("""COMPUTED_VALUE"""),"Denise Meyrelles de Jesus, Claudio Roberto Baptista, Sonia Lopes Victor, organizadores")</f>
        <v>Denise Meyrelles de Jesus, Claudio Roberto Baptista, Sonia Lopes Victor, organizadores</v>
      </c>
      <c r="C719" s="24" t="str">
        <f>IFERROR(__xludf.DUMMYFUNCTION("""COMPUTED_VALUE"""),"Vitória")</f>
        <v>Vitória</v>
      </c>
      <c r="D719" s="24" t="str">
        <f>IFERROR(__xludf.DUMMYFUNCTION("""COMPUTED_VALUE"""),"EDUFES")</f>
        <v>EDUFES</v>
      </c>
      <c r="E719" s="25">
        <f>IFERROR(__xludf.DUMMYFUNCTION("""COMPUTED_VALUE"""),2012.0)</f>
        <v>2012</v>
      </c>
      <c r="F719" s="24" t="str">
        <f>IFERROR(__xludf.DUMMYFUNCTION("""COMPUTED_VALUE"""),"Educação especial; Educação inclusiva; Professores de educação especial")</f>
        <v>Educação especial; Educação inclusiva; Professores de educação especial</v>
      </c>
      <c r="G719" s="28" t="str">
        <f>IFERROR(__xludf.DUMMYFUNCTION("""COMPUTED_VALUE"""),"9788577721146")</f>
        <v>9788577721146</v>
      </c>
      <c r="H719" s="29" t="str">
        <f>IFERROR(__xludf.DUMMYFUNCTION("""COMPUTED_VALUE"""),"http://repositorio.ufes.br/bitstream/10/776/1/livro%20edufes%20Pesquisa%20e%20Educacao%20Especial%20Mapeando%20producoes.pdf")</f>
        <v>http://repositorio.ufes.br/bitstream/10/776/1/livro%20edufes%20Pesquisa%20e%20Educacao%20Especial%20Mapeando%20producoes.pdf</v>
      </c>
      <c r="I719" s="24" t="str">
        <f>IFERROR(__xludf.DUMMYFUNCTION("""COMPUTED_VALUE"""),"Ciências Humanas")</f>
        <v>Ciências Humanas</v>
      </c>
    </row>
    <row r="720">
      <c r="A720" s="24" t="str">
        <f>IFERROR(__xludf.DUMMYFUNCTION("""COMPUTED_VALUE"""),"Pesquisa e Educação Popular: construindo conhecimentos em saúde a partir da extensão")</f>
        <v>Pesquisa e Educação Popular: construindo conhecimentos em saúde a partir da extensão</v>
      </c>
      <c r="B720" s="24" t="str">
        <f>IFERROR(__xludf.DUMMYFUNCTION("""COMPUTED_VALUE"""),"Pedro José Santos Carneiro Cruz; Dailton Alencar Lucas de Lacerda")</f>
        <v>Pedro José Santos Carneiro Cruz; Dailton Alencar Lucas de Lacerda</v>
      </c>
      <c r="C720" s="24" t="str">
        <f>IFERROR(__xludf.DUMMYFUNCTION("""COMPUTED_VALUE"""),"João Pessoa")</f>
        <v>João Pessoa</v>
      </c>
      <c r="D720" s="24" t="str">
        <f>IFERROR(__xludf.DUMMYFUNCTION("""COMPUTED_VALUE"""),"Editora da UFPB")</f>
        <v>Editora da UFPB</v>
      </c>
      <c r="E720" s="25">
        <f>IFERROR(__xludf.DUMMYFUNCTION("""COMPUTED_VALUE"""),2019.0)</f>
        <v>2019</v>
      </c>
      <c r="F720" s="24" t="str">
        <f>IFERROR(__xludf.DUMMYFUNCTION("""COMPUTED_VALUE"""),"Saúde Pública. Educação popular. Pesquisa e extensão")</f>
        <v>Saúde Pública. Educação popular. Pesquisa e extensão</v>
      </c>
      <c r="G720" s="28" t="str">
        <f>IFERROR(__xludf.DUMMYFUNCTION("""COMPUTED_VALUE"""),"9788523715267")</f>
        <v>9788523715267</v>
      </c>
      <c r="H720" s="29" t="str">
        <f>IFERROR(__xludf.DUMMYFUNCTION("""COMPUTED_VALUE"""),"http://www.editora.ufpb.br/sistema/press5/index.php/UFPB/catalog/book/229")</f>
        <v>http://www.editora.ufpb.br/sistema/press5/index.php/UFPB/catalog/book/229</v>
      </c>
      <c r="I720" s="24" t="str">
        <f>IFERROR(__xludf.DUMMYFUNCTION("""COMPUTED_VALUE"""),"Ciências Humanas")</f>
        <v>Ciências Humanas</v>
      </c>
    </row>
    <row r="721">
      <c r="A721" s="24" t="str">
        <f>IFERROR(__xludf.DUMMYFUNCTION("""COMPUTED_VALUE"""),"Pesquisa em ciências humanas e sociais: metodologias aplicadas ")</f>
        <v>Pesquisa em ciências humanas e sociais: metodologias aplicadas </v>
      </c>
      <c r="B721" s="24" t="str">
        <f>IFERROR(__xludf.DUMMYFUNCTION("""COMPUTED_VALUE"""),"Fabio Lanza, Claudia Neves da Silva, José Wilson Assis Neves Junior, Letícia Jovelina Storto, Marcos Vinícius de Freitas Reis, Vinícius dos Santos Moreno Bustos (org.)")</f>
        <v>Fabio Lanza, Claudia Neves da Silva, José Wilson Assis Neves Junior, Letícia Jovelina Storto, Marcos Vinícius de Freitas Reis, Vinícius dos Santos Moreno Bustos (org.)</v>
      </c>
      <c r="C721" s="24" t="str">
        <f>IFERROR(__xludf.DUMMYFUNCTION("""COMPUTED_VALUE"""),"Macapá")</f>
        <v>Macapá</v>
      </c>
      <c r="D721" s="24" t="str">
        <f>IFERROR(__xludf.DUMMYFUNCTION("""COMPUTED_VALUE"""),"UNIFAP")</f>
        <v>UNIFAP</v>
      </c>
      <c r="E721" s="25">
        <f>IFERROR(__xludf.DUMMYFUNCTION("""COMPUTED_VALUE"""),2018.0)</f>
        <v>2018</v>
      </c>
      <c r="F721" s="24" t="str">
        <f>IFERROR(__xludf.DUMMYFUNCTION("""COMPUTED_VALUE"""),"Metodologia; Pesquisa; Ciência")</f>
        <v>Metodologia; Pesquisa; Ciência</v>
      </c>
      <c r="G721" s="28" t="str">
        <f>IFERROR(__xludf.DUMMYFUNCTION("""COMPUTED_VALUE"""),"9788554760564")</f>
        <v>9788554760564</v>
      </c>
      <c r="H721" s="29" t="str">
        <f>IFERROR(__xludf.DUMMYFUNCTION("""COMPUTED_VALUE"""),"https://www2.unifap.br/editora/files/2019/03/Pesquisa-em-ciencias-humanas-e-sociais.pdf")</f>
        <v>https://www2.unifap.br/editora/files/2019/03/Pesquisa-em-ciencias-humanas-e-sociais.pdf</v>
      </c>
      <c r="I721" s="24" t="str">
        <f>IFERROR(__xludf.DUMMYFUNCTION("""COMPUTED_VALUE"""),"Ciências Humanas")</f>
        <v>Ciências Humanas</v>
      </c>
    </row>
    <row r="722">
      <c r="A722" s="24" t="str">
        <f>IFERROR(__xludf.DUMMYFUNCTION("""COMPUTED_VALUE"""),"Pesquisa em Educação: diferentes enfoques 3 ")</f>
        <v>Pesquisa em Educação: diferentes enfoques 3 </v>
      </c>
      <c r="B722" s="24" t="str">
        <f>IFERROR(__xludf.DUMMYFUNCTION("""COMPUTED_VALUE"""),"Edwiges Zaccur e Osmar Fávero (org.) ")</f>
        <v>Edwiges Zaccur e Osmar Fávero (org.) </v>
      </c>
      <c r="C722" s="24" t="str">
        <f>IFERROR(__xludf.DUMMYFUNCTION("""COMPUTED_VALUE"""),"Niterói, RJ")</f>
        <v>Niterói, RJ</v>
      </c>
      <c r="D722" s="24" t="str">
        <f>IFERROR(__xludf.DUMMYFUNCTION("""COMPUTED_VALUE"""),"EDUFF")</f>
        <v>EDUFF</v>
      </c>
      <c r="E722" s="25">
        <f>IFERROR(__xludf.DUMMYFUNCTION("""COMPUTED_VALUE"""),2008.0)</f>
        <v>2008</v>
      </c>
      <c r="F722" s="24" t="str">
        <f>IFERROR(__xludf.DUMMYFUNCTION("""COMPUTED_VALUE"""),"Educação; Pesquisas")</f>
        <v>Educação; Pesquisas</v>
      </c>
      <c r="G722" s="28" t="str">
        <f>IFERROR(__xludf.DUMMYFUNCTION("""COMPUTED_VALUE"""),"9788522804825")</f>
        <v>9788522804825</v>
      </c>
      <c r="H722" s="29" t="str">
        <f>IFERROR(__xludf.DUMMYFUNCTION("""COMPUTED_VALUE"""),"http://bit.ly/Pesquisas-em-educacao-3")</f>
        <v>http://bit.ly/Pesquisas-em-educacao-3</v>
      </c>
      <c r="I722" s="24" t="str">
        <f>IFERROR(__xludf.DUMMYFUNCTION("""COMPUTED_VALUE"""),"Ciências Humanas")</f>
        <v>Ciências Humanas</v>
      </c>
    </row>
    <row r="723">
      <c r="A723" s="24" t="str">
        <f>IFERROR(__xludf.DUMMYFUNCTION("""COMPUTED_VALUE"""),"Pesquisa na pós-graduação em educação: novos horizontes*")</f>
        <v>Pesquisa na pós-graduação em educação: novos horizontes*</v>
      </c>
      <c r="B723" s="24" t="str">
        <f>IFERROR(__xludf.DUMMYFUNCTION("""COMPUTED_VALUE"""),"Ivan Luís Schwengber; Rosilei Gugel Ficagna; Leonel Piovenzana; Ivo Dickmann; Jandrei Maciel")</f>
        <v>Ivan Luís Schwengber; Rosilei Gugel Ficagna; Leonel Piovenzana; Ivo Dickmann; Jandrei Maciel</v>
      </c>
      <c r="C723" s="24" t="str">
        <f>IFERROR(__xludf.DUMMYFUNCTION("""COMPUTED_VALUE"""),"Chapecó")</f>
        <v>Chapecó</v>
      </c>
      <c r="D723" s="24" t="str">
        <f>IFERROR(__xludf.DUMMYFUNCTION("""COMPUTED_VALUE"""),"Argos")</f>
        <v>Argos</v>
      </c>
      <c r="E723" s="25">
        <f>IFERROR(__xludf.DUMMYFUNCTION("""COMPUTED_VALUE"""),2018.0)</f>
        <v>2018</v>
      </c>
      <c r="F723" s="24" t="str">
        <f>IFERROR(__xludf.DUMMYFUNCTION("""COMPUTED_VALUE"""),"Pesquisa científica; Pós-graduação; Educação")</f>
        <v>Pesquisa científica; Pós-graduação; Educação</v>
      </c>
      <c r="G723" s="28" t="str">
        <f>IFERROR(__xludf.DUMMYFUNCTION("""COMPUTED_VALUE"""),"9788578972936")</f>
        <v>9788578972936</v>
      </c>
      <c r="H723" s="29" t="str">
        <f>IFERROR(__xludf.DUMMYFUNCTION("""COMPUTED_VALUE"""),"https://www.editoraargos.com.br/farol/editoraargos/ebook/pesquisa-na-pos-graduacao-em-educacao-novos-horizontes/729095/")</f>
        <v>https://www.editoraargos.com.br/farol/editoraargos/ebook/pesquisa-na-pos-graduacao-em-educacao-novos-horizontes/729095/</v>
      </c>
      <c r="I723" s="24" t="str">
        <f>IFERROR(__xludf.DUMMYFUNCTION("""COMPUTED_VALUE"""),"Ciências Humanas")</f>
        <v>Ciências Humanas</v>
      </c>
    </row>
    <row r="724">
      <c r="A724" s="24" t="str">
        <f>IFERROR(__xludf.DUMMYFUNCTION("""COMPUTED_VALUE"""),"Pesquisa qualitativa em geografia: reflexões teórico-conceituais e aplicadas")</f>
        <v>Pesquisa qualitativa em geografia: reflexões teórico-conceituais e aplicadas</v>
      </c>
      <c r="B724" s="24" t="str">
        <f>IFERROR(__xludf.DUMMYFUNCTION("""COMPUTED_VALUE"""),"organização Glaucio José Marafon (et al.).")</f>
        <v>organização Glaucio José Marafon (et al.).</v>
      </c>
      <c r="C724" s="24" t="str">
        <f>IFERROR(__xludf.DUMMYFUNCTION("""COMPUTED_VALUE"""),"Rio de Janeiro, RJ")</f>
        <v>Rio de Janeiro, RJ</v>
      </c>
      <c r="D724" s="24" t="str">
        <f>IFERROR(__xludf.DUMMYFUNCTION("""COMPUTED_VALUE"""),"EdUERJ")</f>
        <v>EdUERJ</v>
      </c>
      <c r="E724" s="25">
        <f>IFERROR(__xludf.DUMMYFUNCTION("""COMPUTED_VALUE"""),2013.0)</f>
        <v>2013</v>
      </c>
      <c r="F724" s="24" t="str">
        <f>IFERROR(__xludf.DUMMYFUNCTION("""COMPUTED_VALUE"""),"Geografia – Pesquisa – Metodologia; Pesquisa qualitativa")</f>
        <v>Geografia – Pesquisa – Metodologia; Pesquisa qualitativa</v>
      </c>
      <c r="G724" s="28" t="str">
        <f>IFERROR(__xludf.DUMMYFUNCTION("""COMPUTED_VALUE"""),"9788575113011")</f>
        <v>9788575113011</v>
      </c>
      <c r="H724" s="29" t="str">
        <f>IFERROR(__xludf.DUMMYFUNCTION("""COMPUTED_VALUE"""),"http://books.scielo.org/id/hvsdh/pdf/marafon-9788575114438.pdf")</f>
        <v>http://books.scielo.org/id/hvsdh/pdf/marafon-9788575114438.pdf</v>
      </c>
      <c r="I724" s="24" t="str">
        <f>IFERROR(__xludf.DUMMYFUNCTION("""COMPUTED_VALUE"""),"Ciências Humanas")</f>
        <v>Ciências Humanas</v>
      </c>
    </row>
    <row r="725">
      <c r="A725" s="24" t="str">
        <f>IFERROR(__xludf.DUMMYFUNCTION("""COMPUTED_VALUE"""),"Pesquisa qualitativa em geografia: reflexões teórico-conceituais e aplicadas")</f>
        <v>Pesquisa qualitativa em geografia: reflexões teórico-conceituais e aplicadas</v>
      </c>
      <c r="B725" s="24" t="str">
        <f>IFERROR(__xludf.DUMMYFUNCTION("""COMPUTED_VALUE"""),"Glaucio José Marafon, Julio Cesar de Lima Ramires, Miguel Angelo Ribeiro e Vera Lúcia Salazar Pessôa (orgs.)")</f>
        <v>Glaucio José Marafon, Julio Cesar de Lima Ramires, Miguel Angelo Ribeiro e Vera Lúcia Salazar Pessôa (orgs.)</v>
      </c>
      <c r="C725" s="24" t="str">
        <f>IFERROR(__xludf.DUMMYFUNCTION("""COMPUTED_VALUE"""),"Rio de Janeiro")</f>
        <v>Rio de Janeiro</v>
      </c>
      <c r="D725" s="24" t="str">
        <f>IFERROR(__xludf.DUMMYFUNCTION("""COMPUTED_VALUE"""),"EdUERJ")</f>
        <v>EdUERJ</v>
      </c>
      <c r="E725" s="25">
        <f>IFERROR(__xludf.DUMMYFUNCTION("""COMPUTED_VALUE"""),2013.0)</f>
        <v>2013</v>
      </c>
      <c r="F725" s="24" t="str">
        <f>IFERROR(__xludf.DUMMYFUNCTION("""COMPUTED_VALUE"""),"Geografia; Pesquisa; Metodologia;. Pesquisa qualitativa")</f>
        <v>Geografia; Pesquisa; Metodologia;. Pesquisa qualitativa</v>
      </c>
      <c r="G725" s="28" t="str">
        <f>IFERROR(__xludf.DUMMYFUNCTION("""COMPUTED_VALUE"""),"9788575113011")</f>
        <v>9788575113011</v>
      </c>
      <c r="H725" s="29" t="str">
        <f>IFERROR(__xludf.DUMMYFUNCTION("""COMPUTED_VALUE"""),"https://www.eduerj.com/eng/?product=pesquisa-qualitativa-em-geografia-reflexoes-teorico-conceituais-e-aplicadas-ebook")</f>
        <v>https://www.eduerj.com/eng/?product=pesquisa-qualitativa-em-geografia-reflexoes-teorico-conceituais-e-aplicadas-ebook</v>
      </c>
      <c r="I725" s="24" t="str">
        <f>IFERROR(__xludf.DUMMYFUNCTION("""COMPUTED_VALUE"""),"Ciências Humanas")</f>
        <v>Ciências Humanas</v>
      </c>
    </row>
    <row r="726">
      <c r="A726" s="24" t="str">
        <f>IFERROR(__xludf.DUMMYFUNCTION("""COMPUTED_VALUE"""),"Pesquisa-ação &amp; formação: convergências no estágio supervisionado de língua inglesa ")</f>
        <v>Pesquisa-ação &amp; formação: convergências no estágio supervisionado de língua inglesa </v>
      </c>
      <c r="B726" s="24" t="str">
        <f>IFERROR(__xludf.DUMMYFUNCTION("""COMPUTED_VALUE"""),"Barbra Sabota; Viviane Pires Viana Silvestre (org.)")</f>
        <v>Barbra Sabota; Viviane Pires Viana Silvestre (org.)</v>
      </c>
      <c r="C726" s="24" t="str">
        <f>IFERROR(__xludf.DUMMYFUNCTION("""COMPUTED_VALUE"""),"Anápolis")</f>
        <v>Anápolis</v>
      </c>
      <c r="D726" s="24" t="str">
        <f>IFERROR(__xludf.DUMMYFUNCTION("""COMPUTED_VALUE"""),"UEG")</f>
        <v>UEG</v>
      </c>
      <c r="E726" s="25">
        <f>IFERROR(__xludf.DUMMYFUNCTION("""COMPUTED_VALUE"""),2017.0)</f>
        <v>2017</v>
      </c>
      <c r="F726" s="24" t="str">
        <f>IFERROR(__xludf.DUMMYFUNCTION("""COMPUTED_VALUE"""),"Educação; Ensino; Estágio supervisionado; Práticas pedagógicas;Pesquisa educacional; Formação profissional")</f>
        <v>Educação; Ensino; Estágio supervisionado; Práticas pedagógicas;Pesquisa educacional; Formação profissional</v>
      </c>
      <c r="G726" s="28" t="str">
        <f>IFERROR(__xludf.DUMMYFUNCTION("""COMPUTED_VALUE"""),"9788555820212")</f>
        <v>9788555820212</v>
      </c>
      <c r="H726" s="29" t="str">
        <f>IFERROR(__xludf.DUMMYFUNCTION("""COMPUTED_VALUE"""),"http://cdn.ueg.edu.br/source/editora_ueg/conteudo_compartilhado/11010/ebook_pesquisa_acao_e_formacao.pdf")</f>
        <v>http://cdn.ueg.edu.br/source/editora_ueg/conteudo_compartilhado/11010/ebook_pesquisa_acao_e_formacao.pdf</v>
      </c>
      <c r="I726" s="24" t="str">
        <f>IFERROR(__xludf.DUMMYFUNCTION("""COMPUTED_VALUE"""),"Ciências Humanas")</f>
        <v>Ciências Humanas</v>
      </c>
    </row>
    <row r="727">
      <c r="A727" s="24" t="str">
        <f>IFERROR(__xludf.DUMMYFUNCTION("""COMPUTED_VALUE"""),"Pesquisa, pós-graduação e inovação na Rede Federal de Educação Profissional, Científica e Tecnológica")</f>
        <v>Pesquisa, pós-graduação e inovação na Rede Federal de Educação Profissional, Científica e Tecnológica</v>
      </c>
      <c r="B727" s="24" t="str">
        <f>IFERROR(__xludf.DUMMYFUNCTION("""COMPUTED_VALUE"""),"Organização: Ruberley Rodrigues de Souza")</f>
        <v>Organização: Ruberley Rodrigues de Souza</v>
      </c>
      <c r="C727" s="24" t="str">
        <f>IFERROR(__xludf.DUMMYFUNCTION("""COMPUTED_VALUE"""),"Goiânia, GO")</f>
        <v>Goiânia, GO</v>
      </c>
      <c r="D727" s="24" t="str">
        <f>IFERROR(__xludf.DUMMYFUNCTION("""COMPUTED_VALUE"""),"Editora IFG")</f>
        <v>Editora IFG</v>
      </c>
      <c r="E727" s="25">
        <f>IFERROR(__xludf.DUMMYFUNCTION("""COMPUTED_VALUE"""),2017.0)</f>
        <v>2017</v>
      </c>
      <c r="F727" s="24" t="str">
        <f>IFERROR(__xludf.DUMMYFUNCTION("""COMPUTED_VALUE"""),"Rede Federal de Educação Profissional, Científica e Tecnológica; Pós-graduação; Pesquisa; Inovação; Produção editorial")</f>
        <v>Rede Federal de Educação Profissional, Científica e Tecnológica; Pós-graduação; Pesquisa; Inovação; Produção editorial</v>
      </c>
      <c r="G727" s="28" t="str">
        <f>IFERROR(__xludf.DUMMYFUNCTION("""COMPUTED_VALUE"""),"9788567022253")</f>
        <v>9788567022253</v>
      </c>
      <c r="H727" s="29" t="str">
        <f>IFERROR(__xludf.DUMMYFUNCTION("""COMPUTED_VALUE"""),"https://editora.ifg.edu.br/editoraifg/catalog/view/22/18/60-1")</f>
        <v>https://editora.ifg.edu.br/editoraifg/catalog/view/22/18/60-1</v>
      </c>
      <c r="I727" s="24" t="str">
        <f>IFERROR(__xludf.DUMMYFUNCTION("""COMPUTED_VALUE"""),"Ciências Humanas")</f>
        <v>Ciências Humanas</v>
      </c>
    </row>
    <row r="728">
      <c r="A728" s="24" t="str">
        <f>IFERROR(__xludf.DUMMYFUNCTION("""COMPUTED_VALUE"""),"Pesquisas Geográficas: cidades, Trabalho e Educação (disponível temporariamente)")</f>
        <v>Pesquisas Geográficas: cidades, Trabalho e Educação (disponível temporariamente)</v>
      </c>
      <c r="B728" s="24" t="str">
        <f>IFERROR(__xludf.DUMMYFUNCTION("""COMPUTED_VALUE"""),"Eduardo Rodrigues Viana de Lima (Organizador).")</f>
        <v>Eduardo Rodrigues Viana de Lima (Organizador).</v>
      </c>
      <c r="C728" s="24" t="str">
        <f>IFERROR(__xludf.DUMMYFUNCTION("""COMPUTED_VALUE"""),"João Pessoa")</f>
        <v>João Pessoa</v>
      </c>
      <c r="D728" s="24" t="str">
        <f>IFERROR(__xludf.DUMMYFUNCTION("""COMPUTED_VALUE"""),"Editora da UFPB")</f>
        <v>Editora da UFPB</v>
      </c>
      <c r="E728" s="25">
        <f>IFERROR(__xludf.DUMMYFUNCTION("""COMPUTED_VALUE"""),2018.0)</f>
        <v>2018</v>
      </c>
      <c r="F728" s="24" t="str">
        <f>IFERROR(__xludf.DUMMYFUNCTION("""COMPUTED_VALUE"""),"Geografia; Geografia urbana; Geografia do trabalho; Educação geográfica")</f>
        <v>Geografia; Geografia urbana; Geografia do trabalho; Educação geográfica</v>
      </c>
      <c r="G728" s="28" t="str">
        <f>IFERROR(__xludf.DUMMYFUNCTION("""COMPUTED_VALUE"""),"9788523713232")</f>
        <v>9788523713232</v>
      </c>
      <c r="H728" s="29" t="str">
        <f>IFERROR(__xludf.DUMMYFUNCTION("""COMPUTED_VALUE"""),"http://www.editora.ufpb.br/sistema/press5/index.php/UFPB/catalog/book/504")</f>
        <v>http://www.editora.ufpb.br/sistema/press5/index.php/UFPB/catalog/book/504</v>
      </c>
      <c r="I728" s="24" t="str">
        <f>IFERROR(__xludf.DUMMYFUNCTION("""COMPUTED_VALUE"""),"Ciências Humanas")</f>
        <v>Ciências Humanas</v>
      </c>
    </row>
    <row r="729">
      <c r="A729" s="24" t="str">
        <f>IFERROR(__xludf.DUMMYFUNCTION("""COMPUTED_VALUE"""),"PIBID Licenciatura Intercultural: Pesquisa do Calendário Cultural e Formação de Professores Indígenas em Roraima")</f>
        <v>PIBID Licenciatura Intercultural: Pesquisa do Calendário Cultural e Formação de Professores Indígenas em Roraima</v>
      </c>
      <c r="B729" s="24" t="str">
        <f>IFERROR(__xludf.DUMMYFUNCTION("""COMPUTED_VALUE"""),"Organizadores; Fabíola Carvalho; Maxim Repetto; Jovina Mafra dos Santos")</f>
        <v>Organizadores; Fabíola Carvalho; Maxim Repetto; Jovina Mafra dos Santos</v>
      </c>
      <c r="C729" s="24" t="str">
        <f>IFERROR(__xludf.DUMMYFUNCTION("""COMPUTED_VALUE"""),"Boa Vista ")</f>
        <v>Boa Vista </v>
      </c>
      <c r="D729" s="24" t="str">
        <f>IFERROR(__xludf.DUMMYFUNCTION("""COMPUTED_VALUE"""),"UFRR")</f>
        <v>UFRR</v>
      </c>
      <c r="E729" s="25">
        <f>IFERROR(__xludf.DUMMYFUNCTION("""COMPUTED_VALUE"""),2018.0)</f>
        <v>2018</v>
      </c>
      <c r="F729" s="24" t="str">
        <f>IFERROR(__xludf.DUMMYFUNCTION("""COMPUTED_VALUE"""),"Licenciatura intercultural; Pesquisa educativa; Calendário cultural; Formação de professores indígenas")</f>
        <v>Licenciatura intercultural; Pesquisa educativa; Calendário cultural; Formação de professores indígenas</v>
      </c>
      <c r="G729" s="28" t="str">
        <f>IFERROR(__xludf.DUMMYFUNCTION("""COMPUTED_VALUE"""),"9788582882207")</f>
        <v>9788582882207</v>
      </c>
      <c r="H729" s="29" t="str">
        <f>IFERROR(__xludf.DUMMYFUNCTION("""COMPUTED_VALUE"""),"http://ufrr.br/editora/index.php/editais?download=417")</f>
        <v>http://ufrr.br/editora/index.php/editais?download=417</v>
      </c>
      <c r="I729" s="24" t="str">
        <f>IFERROR(__xludf.DUMMYFUNCTION("""COMPUTED_VALUE"""),"Ciências Humanas")</f>
        <v>Ciências Humanas</v>
      </c>
    </row>
    <row r="730">
      <c r="A730" s="24" t="str">
        <f>IFERROR(__xludf.DUMMYFUNCTION("""COMPUTED_VALUE"""),"PIBID: docência crítica e prática compartilhada nas áreas de linguagens, educação e tecnologia ")</f>
        <v>PIBID: docência crítica e prática compartilhada nas áreas de linguagens, educação e tecnologia </v>
      </c>
      <c r="B730" s="24" t="str">
        <f>IFERROR(__xludf.DUMMYFUNCTION("""COMPUTED_VALUE"""),"Renata Cristina de L.C.B.Nascimento; Franciano Antunes (org.)")</f>
        <v>Renata Cristina de L.C.B.Nascimento; Franciano Antunes (org.)</v>
      </c>
      <c r="C730" s="24" t="str">
        <f>IFERROR(__xludf.DUMMYFUNCTION("""COMPUTED_VALUE"""),"Cáceres")</f>
        <v>Cáceres</v>
      </c>
      <c r="D730" s="24" t="str">
        <f>IFERROR(__xludf.DUMMYFUNCTION("""COMPUTED_VALUE"""),"UNEMAT")</f>
        <v>UNEMAT</v>
      </c>
      <c r="E730" s="25">
        <f>IFERROR(__xludf.DUMMYFUNCTION("""COMPUTED_VALUE"""),2017.0)</f>
        <v>2017</v>
      </c>
      <c r="F730" s="24" t="str">
        <f>IFERROR(__xludf.DUMMYFUNCTION("""COMPUTED_VALUE"""),"Educação; Prática de ensino; Abordagem interdisciplinar do conhecimento; Professores – Formação; Extensão universitária")</f>
        <v>Educação; Prática de ensino; Abordagem interdisciplinar do conhecimento; Professores – Formação; Extensão universitária</v>
      </c>
      <c r="G730" s="28" t="str">
        <f>IFERROR(__xludf.DUMMYFUNCTION("""COMPUTED_VALUE"""),"9788579111723")</f>
        <v>9788579111723</v>
      </c>
      <c r="H730" s="29" t="str">
        <f>IFERROR(__xludf.DUMMYFUNCTION("""COMPUTED_VALUE"""),"http://portal.unemat.br/media/files/Editora/livro_pibid2_versao_final_v2.pdf")</f>
        <v>http://portal.unemat.br/media/files/Editora/livro_pibid2_versao_final_v2.pdf</v>
      </c>
      <c r="I730" s="24" t="str">
        <f>IFERROR(__xludf.DUMMYFUNCTION("""COMPUTED_VALUE"""),"Ciências Humanas")</f>
        <v>Ciências Humanas</v>
      </c>
    </row>
    <row r="731">
      <c r="A731" s="24" t="str">
        <f>IFERROR(__xludf.DUMMYFUNCTION("""COMPUTED_VALUE"""),"PIBID: Novas perspectivas à formação docente nas ciências naturais e exatas")</f>
        <v>PIBID: Novas perspectivas à formação docente nas ciências naturais e exatas</v>
      </c>
      <c r="B731" s="24" t="str">
        <f>IFERROR(__xludf.DUMMYFUNCTION("""COMPUTED_VALUE"""),"Renata Cristina de L.C.B. Nascimento, Franciano Antunes, (org.) ")</f>
        <v>Renata Cristina de L.C.B. Nascimento, Franciano Antunes, (org.) </v>
      </c>
      <c r="C731" s="24" t="str">
        <f>IFERROR(__xludf.DUMMYFUNCTION("""COMPUTED_VALUE"""),"Cáceres")</f>
        <v>Cáceres</v>
      </c>
      <c r="D731" s="24" t="str">
        <f>IFERROR(__xludf.DUMMYFUNCTION("""COMPUTED_VALUE"""),"UNEMAT")</f>
        <v>UNEMAT</v>
      </c>
      <c r="E731" s="25">
        <f>IFERROR(__xludf.DUMMYFUNCTION("""COMPUTED_VALUE"""),2017.0)</f>
        <v>2017</v>
      </c>
      <c r="F731" s="24" t="str">
        <f>IFERROR(__xludf.DUMMYFUNCTION("""COMPUTED_VALUE"""),"Educação; Prática de ensino; Abordagem interdisciplinar do conhecimento")</f>
        <v>Educação; Prática de ensino; Abordagem interdisciplinar do conhecimento</v>
      </c>
      <c r="G731" s="28" t="str">
        <f>IFERROR(__xludf.DUMMYFUNCTION("""COMPUTED_VALUE"""),"9788579111709")</f>
        <v>9788579111709</v>
      </c>
      <c r="H731" s="29" t="str">
        <f>IFERROR(__xludf.DUMMYFUNCTION("""COMPUTED_VALUE"""),"http://portal.unemat.br/media/files/Editora/livro_pibid1_versao_final_v2.pdf")</f>
        <v>http://portal.unemat.br/media/files/Editora/livro_pibid1_versao_final_v2.pdf</v>
      </c>
      <c r="I731" s="24" t="str">
        <f>IFERROR(__xludf.DUMMYFUNCTION("""COMPUTED_VALUE"""),"Ciências Humanas")</f>
        <v>Ciências Humanas</v>
      </c>
    </row>
    <row r="732">
      <c r="A732" s="24" t="str">
        <f>IFERROR(__xludf.DUMMYFUNCTION("""COMPUTED_VALUE"""),"Pintando uma imagem Nossa Senhora Aparecida–1931: Igreja e Estado na construção de um símbolo naciona")</f>
        <v>Pintando uma imagem Nossa Senhora Aparecida–1931: Igreja e Estado na construção de um símbolo naciona</v>
      </c>
      <c r="B732" s="24" t="str">
        <f>IFERROR(__xludf.DUMMYFUNCTION("""COMPUTED_VALUE"""),"Andréa Maria Franklin de Queiroz Alves")</f>
        <v>Andréa Maria Franklin de Queiroz Alves</v>
      </c>
      <c r="C732" s="24" t="str">
        <f>IFERROR(__xludf.DUMMYFUNCTION("""COMPUTED_VALUE"""),"Dourados, MS")</f>
        <v>Dourados, MS</v>
      </c>
      <c r="D732" s="24" t="str">
        <f>IFERROR(__xludf.DUMMYFUNCTION("""COMPUTED_VALUE"""),"Ed. da UFGD")</f>
        <v>Ed. da UFGD</v>
      </c>
      <c r="E732" s="25">
        <f>IFERROR(__xludf.DUMMYFUNCTION("""COMPUTED_VALUE"""),2013.0)</f>
        <v>2013</v>
      </c>
      <c r="F732" s="24" t="str">
        <f>IFERROR(__xludf.DUMMYFUNCTION("""COMPUTED_VALUE"""),"Aparecida, Nossa Senhora; Aparecida, Nossa Senhora – Representação imagética")</f>
        <v>Aparecida, Nossa Senhora; Aparecida, Nossa Senhora – Representação imagética</v>
      </c>
      <c r="G732" s="28" t="str">
        <f>IFERROR(__xludf.DUMMYFUNCTION("""COMPUTED_VALUE"""),"9788581470023")</f>
        <v>9788581470023</v>
      </c>
      <c r="H732" s="29" t="str">
        <f>IFERROR(__xludf.DUMMYFUNCTION("""COMPUTED_VALUE"""),"http://omp.ufgd.edu.br/omp/index.php/livrosabertos/catalog/view/166/179/460-1")</f>
        <v>http://omp.ufgd.edu.br/omp/index.php/livrosabertos/catalog/view/166/179/460-1</v>
      </c>
      <c r="I732" s="24" t="str">
        <f>IFERROR(__xludf.DUMMYFUNCTION("""COMPUTED_VALUE"""),"Ciências Humanas")</f>
        <v>Ciências Humanas</v>
      </c>
    </row>
    <row r="733">
      <c r="A733" s="24" t="str">
        <f>IFERROR(__xludf.DUMMYFUNCTION("""COMPUTED_VALUE"""),"Piracicaba, 1964: o golpe militar no interior")</f>
        <v>Piracicaba, 1964: o golpe militar no interior</v>
      </c>
      <c r="B733" s="24" t="str">
        <f>IFERROR(__xludf.DUMMYFUNCTION("""COMPUTED_VALUE"""),"Beatriz Helena Vicentini (org.)")</f>
        <v>Beatriz Helena Vicentini (org.)</v>
      </c>
      <c r="C733" s="24" t="str">
        <f>IFERROR(__xludf.DUMMYFUNCTION("""COMPUTED_VALUE"""),"Piracicaba, SP")</f>
        <v>Piracicaba, SP</v>
      </c>
      <c r="D733" s="24" t="str">
        <f>IFERROR(__xludf.DUMMYFUNCTION("""COMPUTED_VALUE"""),"UNIMEP")</f>
        <v>UNIMEP</v>
      </c>
      <c r="E733" s="25">
        <f>IFERROR(__xludf.DUMMYFUNCTION("""COMPUTED_VALUE"""),2014.0)</f>
        <v>2014</v>
      </c>
      <c r="F733" s="24" t="str">
        <f>IFERROR(__xludf.DUMMYFUNCTION("""COMPUTED_VALUE"""),"Brasil. História. 1964. Ditadura. Piracicaba (SP)")</f>
        <v>Brasil. História. 1964. Ditadura. Piracicaba (SP)</v>
      </c>
      <c r="G733" s="28" t="str">
        <f>IFERROR(__xludf.DUMMYFUNCTION("""COMPUTED_VALUE"""),"9788585541750")</f>
        <v>9788585541750</v>
      </c>
      <c r="H733" s="29" t="str">
        <f>IFERROR(__xludf.DUMMYFUNCTION("""COMPUTED_VALUE"""),"http://editora.metodista.br/livros-gratis/piracicaba-1964/at_download/file")</f>
        <v>http://editora.metodista.br/livros-gratis/piracicaba-1964/at_download/file</v>
      </c>
      <c r="I733" s="24" t="str">
        <f>IFERROR(__xludf.DUMMYFUNCTION("""COMPUTED_VALUE"""),"Ciências Humanas")</f>
        <v>Ciências Humanas</v>
      </c>
    </row>
    <row r="734">
      <c r="A734" s="24" t="str">
        <f>IFERROR(__xludf.DUMMYFUNCTION("""COMPUTED_VALUE"""),"Planejamento governamental: a SUDECO no espaço Mato--grossense, contexto, propósitos e contradições")</f>
        <v>Planejamento governamental: a SUDECO no espaço Mato--grossense, contexto, propósitos e contradições</v>
      </c>
      <c r="B734" s="24" t="str">
        <f>IFERROR(__xludf.DUMMYFUNCTION("""COMPUTED_VALUE"""),"Silvana de Abreu")</f>
        <v>Silvana de Abreu</v>
      </c>
      <c r="C734" s="24" t="str">
        <f>IFERROR(__xludf.DUMMYFUNCTION("""COMPUTED_VALUE"""),"Dourados, MS")</f>
        <v>Dourados, MS</v>
      </c>
      <c r="D734" s="24" t="str">
        <f>IFERROR(__xludf.DUMMYFUNCTION("""COMPUTED_VALUE"""),"Ed. da UFGD")</f>
        <v>Ed. da UFGD</v>
      </c>
      <c r="E734" s="25">
        <f>IFERROR(__xludf.DUMMYFUNCTION("""COMPUTED_VALUE"""),2014.0)</f>
        <v>2014</v>
      </c>
      <c r="F734" s="24" t="str">
        <f>IFERROR(__xludf.DUMMYFUNCTION("""COMPUTED_VALUE"""),"Planejamento Governamental; Espaço Geográico; SUDECO; Região Centro-Oeste")</f>
        <v>Planejamento Governamental; Espaço Geográico; SUDECO; Região Centro-Oeste</v>
      </c>
      <c r="G734" s="28" t="str">
        <f>IFERROR(__xludf.DUMMYFUNCTION("""COMPUTED_VALUE"""),"9788581470986")</f>
        <v>9788581470986</v>
      </c>
      <c r="H734" s="29" t="str">
        <f>IFERROR(__xludf.DUMMYFUNCTION("""COMPUTED_VALUE"""),"http://omp.ufgd.edu.br/omp/index.php/livrosabertos/catalog/view/239/124/403-1")</f>
        <v>http://omp.ufgd.edu.br/omp/index.php/livrosabertos/catalog/view/239/124/403-1</v>
      </c>
      <c r="I734" s="24" t="str">
        <f>IFERROR(__xludf.DUMMYFUNCTION("""COMPUTED_VALUE"""),"Ciências Humanas")</f>
        <v>Ciências Humanas</v>
      </c>
    </row>
    <row r="735">
      <c r="A735" s="24" t="str">
        <f>IFERROR(__xludf.DUMMYFUNCTION("""COMPUTED_VALUE"""),"Planes geoestratégicos, securitización y resistencia en las Américas")</f>
        <v>Planes geoestratégicos, securitización y resistencia en las Américas</v>
      </c>
      <c r="B735" s="24" t="str">
        <f>IFERROR(__xludf.DUMMYFUNCTION("""COMPUTED_VALUE"""),"Aurora Furlong y Zacaula; Raúl Netzahualcoyotzi; Juan Manuel Sandoval Palacios; Jadson Porto; (Coordinadores)")</f>
        <v>Aurora Furlong y Zacaula; Raúl Netzahualcoyotzi; Juan Manuel Sandoval Palacios; Jadson Porto; (Coordinadores)</v>
      </c>
      <c r="C735" s="24" t="str">
        <f>IFERROR(__xludf.DUMMYFUNCTION("""COMPUTED_VALUE"""),"Macapá")</f>
        <v>Macapá</v>
      </c>
      <c r="D735" s="24" t="str">
        <f>IFERROR(__xludf.DUMMYFUNCTION("""COMPUTED_VALUE"""),"UNIFAP")</f>
        <v>UNIFAP</v>
      </c>
      <c r="E735" s="25">
        <f>IFERROR(__xludf.DUMMYFUNCTION("""COMPUTED_VALUE"""),2018.0)</f>
        <v>2018</v>
      </c>
      <c r="F735" s="24" t="str">
        <f>IFERROR(__xludf.DUMMYFUNCTION("""COMPUTED_VALUE"""),"Planejamento urbano; América do Sul; Segurança")</f>
        <v>Planejamento urbano; América do Sul; Segurança</v>
      </c>
      <c r="G735" s="28" t="str">
        <f>IFERROR(__xludf.DUMMYFUNCTION("""COMPUTED_VALUE"""),"9788554760625")</f>
        <v>9788554760625</v>
      </c>
      <c r="H735" s="29" t="str">
        <f>IFERROR(__xludf.DUMMYFUNCTION("""COMPUTED_VALUE"""),"https://www2.unifap.br/editora/files/2019/03/Planes-geoestrategicos.pdf")</f>
        <v>https://www2.unifap.br/editora/files/2019/03/Planes-geoestrategicos.pdf</v>
      </c>
      <c r="I735" s="24" t="str">
        <f>IFERROR(__xludf.DUMMYFUNCTION("""COMPUTED_VALUE"""),"Ciências Humanas")</f>
        <v>Ciências Humanas</v>
      </c>
    </row>
    <row r="736">
      <c r="A736" s="24" t="str">
        <f>IFERROR(__xludf.DUMMYFUNCTION("""COMPUTED_VALUE"""),"Planos de reestruturação e expansão das universidades federais: o reuni em Mato Grosso do Su")</f>
        <v>Planos de reestruturação e expansão das universidades federais: o reuni em Mato Grosso do Su</v>
      </c>
      <c r="B736" s="24" t="str">
        <f>IFERROR(__xludf.DUMMYFUNCTION("""COMPUTED_VALUE"""),"Ana Maria da Silva Magalhães")</f>
        <v>Ana Maria da Silva Magalhães</v>
      </c>
      <c r="C736" s="24" t="str">
        <f>IFERROR(__xludf.DUMMYFUNCTION("""COMPUTED_VALUE"""),"Dourados, MS")</f>
        <v>Dourados, MS</v>
      </c>
      <c r="D736" s="24" t="str">
        <f>IFERROR(__xludf.DUMMYFUNCTION("""COMPUTED_VALUE"""),"Ed. da UFGD")</f>
        <v>Ed. da UFGD</v>
      </c>
      <c r="E736" s="25">
        <f>IFERROR(__xludf.DUMMYFUNCTION("""COMPUTED_VALUE"""),2015.0)</f>
        <v>2015</v>
      </c>
      <c r="F736" s="24" t="str">
        <f>IFERROR(__xludf.DUMMYFUNCTION("""COMPUTED_VALUE"""),"Política educacional; Expansão educacional; Educação superior – Mato Grosso do Sul")</f>
        <v>Política educacional; Expansão educacional; Educação superior – Mato Grosso do Sul</v>
      </c>
      <c r="G736" s="28" t="str">
        <f>IFERROR(__xludf.DUMMYFUNCTION("""COMPUTED_VALUE"""),"9788581471051")</f>
        <v>9788581471051</v>
      </c>
      <c r="H736" s="29" t="str">
        <f>IFERROR(__xludf.DUMMYFUNCTION("""COMPUTED_VALUE"""),"http://omp.ufgd.edu.br/omp/index.php/livrosabertos/catalog/view/242/121/399-1")</f>
        <v>http://omp.ufgd.edu.br/omp/index.php/livrosabertos/catalog/view/242/121/399-1</v>
      </c>
      <c r="I736" s="24" t="str">
        <f>IFERROR(__xludf.DUMMYFUNCTION("""COMPUTED_VALUE"""),"Ciências Humanas")</f>
        <v>Ciências Humanas</v>
      </c>
    </row>
    <row r="737">
      <c r="A737" s="24" t="str">
        <f>IFERROR(__xludf.DUMMYFUNCTION("""COMPUTED_VALUE"""),"PLURAIS E (DES)IGUAIS: Polifonias e intercessões")</f>
        <v>PLURAIS E (DES)IGUAIS: Polifonias e intercessões</v>
      </c>
      <c r="B737" s="24" t="str">
        <f>IFERROR(__xludf.DUMMYFUNCTION("""COMPUTED_VALUE"""),"Fabrício César Moura Barbosa; Luciany Rosado Leitão Braga; MariaVilaniSoares (org.) ")</f>
        <v>Fabrício César Moura Barbosa; Luciany Rosado Leitão Braga; MariaVilaniSoares (org.) </v>
      </c>
      <c r="C737" s="24" t="str">
        <f>IFERROR(__xludf.DUMMYFUNCTION("""COMPUTED_VALUE"""),"Teresina")</f>
        <v>Teresina</v>
      </c>
      <c r="D737" s="24" t="str">
        <f>IFERROR(__xludf.DUMMYFUNCTION("""COMPUTED_VALUE"""),"EDUFPI")</f>
        <v>EDUFPI</v>
      </c>
      <c r="E737" s="25">
        <f>IFERROR(__xludf.DUMMYFUNCTION("""COMPUTED_VALUE"""),2018.0)</f>
        <v>2018</v>
      </c>
      <c r="F737" s="24" t="str">
        <f>IFERROR(__xludf.DUMMYFUNCTION("""COMPUTED_VALUE"""),"Ensino; Família; Diversidade; Adoção")</f>
        <v>Ensino; Família; Diversidade; Adoção</v>
      </c>
      <c r="G737" s="28" t="str">
        <f>IFERROR(__xludf.DUMMYFUNCTION("""COMPUTED_VALUE"""),"9788550904016")</f>
        <v>9788550904016</v>
      </c>
      <c r="H737" s="29" t="str">
        <f>IFERROR(__xludf.DUMMYFUNCTION("""COMPUTED_VALUE"""),"https://www.ufpi.br/arquivos_download/arquivos/EDUFPI/plurais_e_desiguais_completo20190607152046.pdf")</f>
        <v>https://www.ufpi.br/arquivos_download/arquivos/EDUFPI/plurais_e_desiguais_completo20190607152046.pdf</v>
      </c>
      <c r="I737" s="24" t="str">
        <f>IFERROR(__xludf.DUMMYFUNCTION("""COMPUTED_VALUE"""),"Ciências Humanas")</f>
        <v>Ciências Humanas</v>
      </c>
    </row>
    <row r="738">
      <c r="A738" s="24" t="str">
        <f>IFERROR(__xludf.DUMMYFUNCTION("""COMPUTED_VALUE"""),"Política científica e tecnológica: países desenvolvidos, América Latina e Brasil. ")</f>
        <v>Política científica e tecnológica: países desenvolvidos, América Latina e Brasil. </v>
      </c>
      <c r="B738" s="24" t="str">
        <f>IFERROR(__xludf.DUMMYFUNCTION("""COMPUTED_VALUE"""),"Paulo Gomes Lima")</f>
        <v>Paulo Gomes Lima</v>
      </c>
      <c r="C738" s="24" t="str">
        <f>IFERROR(__xludf.DUMMYFUNCTION("""COMPUTED_VALUE"""),"Dourados, MS")</f>
        <v>Dourados, MS</v>
      </c>
      <c r="D738" s="24" t="str">
        <f>IFERROR(__xludf.DUMMYFUNCTION("""COMPUTED_VALUE"""),"Editora da UFGD")</f>
        <v>Editora da UFGD</v>
      </c>
      <c r="E738" s="25">
        <f>IFERROR(__xludf.DUMMYFUNCTION("""COMPUTED_VALUE"""),2009.0)</f>
        <v>2009</v>
      </c>
      <c r="F738" s="24" t="str">
        <f>IFERROR(__xludf.DUMMYFUNCTION("""COMPUTED_VALUE"""),"Ciência e Estado; Tecnologia e Estado; Ciência e Tecnologia – Brasil; Ciência e Tecnologia - América Latina; Políticas públicas em ciência e tecnologia – Brasil")</f>
        <v>Ciência e Estado; Tecnologia e Estado; Ciência e Tecnologia – Brasil; Ciência e Tecnologia - América Latina; Políticas públicas em ciência e tecnologia – Brasil</v>
      </c>
      <c r="G738" s="28" t="str">
        <f>IFERROR(__xludf.DUMMYFUNCTION("""COMPUTED_VALUE"""),"9788561228552")</f>
        <v>9788561228552</v>
      </c>
      <c r="H738" s="29" t="str">
        <f>IFERROR(__xludf.DUMMYFUNCTION("""COMPUTED_VALUE"""),"http://omp.ufgd.edu.br/omp/index.php/livrosabertos/catalog/view/168/177/458-1")</f>
        <v>http://omp.ufgd.edu.br/omp/index.php/livrosabertos/catalog/view/168/177/458-1</v>
      </c>
      <c r="I738" s="24" t="str">
        <f>IFERROR(__xludf.DUMMYFUNCTION("""COMPUTED_VALUE"""),"Ciências Humanas")</f>
        <v>Ciências Humanas</v>
      </c>
    </row>
    <row r="739">
      <c r="A739" s="24" t="str">
        <f>IFERROR(__xludf.DUMMYFUNCTION("""COMPUTED_VALUE"""),"Política cientíica &amp; tecnológica no Brasil no Governo Fernando Henrique Cardoso (1995-1998).")</f>
        <v>Política cientíica &amp; tecnológica no Brasil no Governo Fernando Henrique Cardoso (1995-1998).</v>
      </c>
      <c r="B739" s="24" t="str">
        <f>IFERROR(__xludf.DUMMYFUNCTION("""COMPUTED_VALUE"""),"Paulo Gomes Lima")</f>
        <v>Paulo Gomes Lima</v>
      </c>
      <c r="C739" s="24" t="str">
        <f>IFERROR(__xludf.DUMMYFUNCTION("""COMPUTED_VALUE"""),"Dourados, MS")</f>
        <v>Dourados, MS</v>
      </c>
      <c r="D739" s="24" t="str">
        <f>IFERROR(__xludf.DUMMYFUNCTION("""COMPUTED_VALUE"""),"Editora da UFGD")</f>
        <v>Editora da UFGD</v>
      </c>
      <c r="E739" s="25">
        <f>IFERROR(__xludf.DUMMYFUNCTION("""COMPUTED_VALUE"""),2011.0)</f>
        <v>2011</v>
      </c>
      <c r="F739" s="24" t="str">
        <f>IFERROR(__xludf.DUMMYFUNCTION("""COMPUTED_VALUE"""),"Ciência e Estado – Brasil – 1995- 1998; Tecnologia e Estado – Brasil – 1995 – 1998; Políticas públicas em Ciência e Tecnologia – Brasil – 1995 – 199")</f>
        <v>Ciência e Estado – Brasil – 1995- 1998; Tecnologia e Estado – Brasil – 1995 – 1998; Políticas públicas em Ciência e Tecnologia – Brasil – 1995 – 199</v>
      </c>
      <c r="G739" s="28" t="str">
        <f>IFERROR(__xludf.DUMMYFUNCTION("""COMPUTED_VALUE"""),"9788561228897")</f>
        <v>9788561228897</v>
      </c>
      <c r="H739" s="29" t="str">
        <f>IFERROR(__xludf.DUMMYFUNCTION("""COMPUTED_VALUE"""),"http://omp.ufgd.edu.br/omp/index.php/livrosabertos/catalog/view/169/176/457-1")</f>
        <v>http://omp.ufgd.edu.br/omp/index.php/livrosabertos/catalog/view/169/176/457-1</v>
      </c>
      <c r="I739" s="24" t="str">
        <f>IFERROR(__xludf.DUMMYFUNCTION("""COMPUTED_VALUE"""),"Ciências Humanas")</f>
        <v>Ciências Humanas</v>
      </c>
    </row>
    <row r="740">
      <c r="A740" s="24" t="str">
        <f>IFERROR(__xludf.DUMMYFUNCTION("""COMPUTED_VALUE"""),"Política e gestão da educação básica: discussões eperspectivas acerca da alfabetização da criança.")</f>
        <v>Política e gestão da educação básica: discussões eperspectivas acerca da alfabetização da criança.</v>
      </c>
      <c r="B740" s="24" t="str">
        <f>IFERROR(__xludf.DUMMYFUNCTION("""COMPUTED_VALUE"""),"(org.) Maria Alice de Miranda Aranda, ElisângelaAlves da Silva Scaff, Paulo Gomes Lima")</f>
        <v>(org.) Maria Alice de Miranda Aranda, ElisângelaAlves da Silva Scaff, Paulo Gomes Lima</v>
      </c>
      <c r="C740" s="24" t="str">
        <f>IFERROR(__xludf.DUMMYFUNCTION("""COMPUTED_VALUE"""),"Dourados, MS")</f>
        <v>Dourados, MS</v>
      </c>
      <c r="D740" s="24" t="str">
        <f>IFERROR(__xludf.DUMMYFUNCTION("""COMPUTED_VALUE"""),"Ed. da UFGD")</f>
        <v>Ed. da UFGD</v>
      </c>
      <c r="E740" s="25">
        <f>IFERROR(__xludf.DUMMYFUNCTION("""COMPUTED_VALUE"""),2017.0)</f>
        <v>2017</v>
      </c>
      <c r="F740" s="24" t="str">
        <f>IFERROR(__xludf.DUMMYFUNCTION("""COMPUTED_VALUE"""),"Política educacional; Gestão escolar; Alfabetização")</f>
        <v>Política educacional; Gestão escolar; Alfabetização</v>
      </c>
      <c r="G740" s="28" t="str">
        <f>IFERROR(__xludf.DUMMYFUNCTION("""COMPUTED_VALUE"""),"9788581471365")</f>
        <v>9788581471365</v>
      </c>
      <c r="H740" s="29" t="str">
        <f>IFERROR(__xludf.DUMMYFUNCTION("""COMPUTED_VALUE"""),"http://omp.ufgd.edu.br/omp/index.php/livrosabertos/catalog/view/170/175/456-1")</f>
        <v>http://omp.ufgd.edu.br/omp/index.php/livrosabertos/catalog/view/170/175/456-1</v>
      </c>
      <c r="I740" s="24" t="str">
        <f>IFERROR(__xludf.DUMMYFUNCTION("""COMPUTED_VALUE"""),"Ciências Humanas")</f>
        <v>Ciências Humanas</v>
      </c>
    </row>
    <row r="741">
      <c r="A741" s="24" t="str">
        <f>IFERROR(__xludf.DUMMYFUNCTION("""COMPUTED_VALUE"""),"Política educacional e neoliberalismo: a educação em Alagoas durante o governo Vilela Filho (2007-2014) (disponível temporariamente)")</f>
        <v>Política educacional e neoliberalismo: a educação em Alagoas durante o governo Vilela Filho (2007-2014) (disponível temporariamente)</v>
      </c>
      <c r="B741" s="24" t="str">
        <f>IFERROR(__xludf.DUMMYFUNCTION("""COMPUTED_VALUE"""),"Jailton de Souza Lira, Jorge Fernando Hermida")</f>
        <v>Jailton de Souza Lira, Jorge Fernando Hermida</v>
      </c>
      <c r="C741" s="24" t="str">
        <f>IFERROR(__xludf.DUMMYFUNCTION("""COMPUTED_VALUE"""),"João Pessoa")</f>
        <v>João Pessoa</v>
      </c>
      <c r="D741" s="24" t="str">
        <f>IFERROR(__xludf.DUMMYFUNCTION("""COMPUTED_VALUE"""),"Editora da UFPB")</f>
        <v>Editora da UFPB</v>
      </c>
      <c r="E741" s="25">
        <f>IFERROR(__xludf.DUMMYFUNCTION("""COMPUTED_VALUE"""),2017.0)</f>
        <v>2017</v>
      </c>
      <c r="F741" s="24" t="str">
        <f>IFERROR(__xludf.DUMMYFUNCTION("""COMPUTED_VALUE"""),"Política Educacional; Educação; Estado; Sociedade")</f>
        <v>Política Educacional; Educação; Estado; Sociedade</v>
      </c>
      <c r="G741" s="28" t="str">
        <f>IFERROR(__xludf.DUMMYFUNCTION("""COMPUTED_VALUE"""),"9788523712006")</f>
        <v>9788523712006</v>
      </c>
      <c r="H741" s="29" t="str">
        <f>IFERROR(__xludf.DUMMYFUNCTION("""COMPUTED_VALUE"""),"http://www.editora.ufpb.br/sistema/press5/index.php/UFPB/catalog/book/481")</f>
        <v>http://www.editora.ufpb.br/sistema/press5/index.php/UFPB/catalog/book/481</v>
      </c>
      <c r="I741" s="24" t="str">
        <f>IFERROR(__xludf.DUMMYFUNCTION("""COMPUTED_VALUE"""),"Ciências Humanas")</f>
        <v>Ciências Humanas</v>
      </c>
    </row>
    <row r="742">
      <c r="A742" s="24" t="str">
        <f>IFERROR(__xludf.DUMMYFUNCTION("""COMPUTED_VALUE"""),"Política, cultura e sociedade na contemporaneidade")</f>
        <v>Política, cultura e sociedade na contemporaneidade</v>
      </c>
      <c r="B742" s="24" t="str">
        <f>IFERROR(__xludf.DUMMYFUNCTION("""COMPUTED_VALUE"""),"Paula Bastone; Marcos Vinicius de Freitas Reis; Lara de Castro (org.)")</f>
        <v>Paula Bastone; Marcos Vinicius de Freitas Reis; Lara de Castro (org.)</v>
      </c>
      <c r="C742" s="24" t="str">
        <f>IFERROR(__xludf.DUMMYFUNCTION("""COMPUTED_VALUE"""),"Macapá")</f>
        <v>Macapá</v>
      </c>
      <c r="D742" s="24" t="str">
        <f>IFERROR(__xludf.DUMMYFUNCTION("""COMPUTED_VALUE"""),"UNIFAP")</f>
        <v>UNIFAP</v>
      </c>
      <c r="E742" s="25">
        <f>IFERROR(__xludf.DUMMYFUNCTION("""COMPUTED_VALUE"""),2018.0)</f>
        <v>2018</v>
      </c>
      <c r="F742" s="24" t="str">
        <f>IFERROR(__xludf.DUMMYFUNCTION("""COMPUTED_VALUE"""),"Política; Cultura; Sociedade")</f>
        <v>Política; Cultura; Sociedade</v>
      </c>
      <c r="G742" s="28" t="str">
        <f>IFERROR(__xludf.DUMMYFUNCTION("""COMPUTED_VALUE"""),"9788554760175")</f>
        <v>9788554760175</v>
      </c>
      <c r="H742" s="29" t="str">
        <f>IFERROR(__xludf.DUMMYFUNCTION("""COMPUTED_VALUE"""),"https://www2.unifap.br/editora/files/2019/03/politica-cultura-e-sociedade-na-contemporaneidade.pdf")</f>
        <v>https://www2.unifap.br/editora/files/2019/03/politica-cultura-e-sociedade-na-contemporaneidade.pdf</v>
      </c>
      <c r="I742" s="24" t="str">
        <f>IFERROR(__xludf.DUMMYFUNCTION("""COMPUTED_VALUE"""),"Ciências Humanas")</f>
        <v>Ciências Humanas</v>
      </c>
    </row>
    <row r="743">
      <c r="A743" s="24" t="str">
        <f>IFERROR(__xludf.DUMMYFUNCTION("""COMPUTED_VALUE"""),"Políticas de formação de jovens e adultos no Brasil e em Portugal.")</f>
        <v>Políticas de formação de jovens e adultos no Brasil e em Portugal.</v>
      </c>
      <c r="B743" s="24" t="str">
        <f>IFERROR(__xludf.DUMMYFUNCTION("""COMPUTED_VALUE"""),"Sonia Maria Rummert; Rui Canário; Gaudêncio Frigotto.")</f>
        <v>Sonia Maria Rummert; Rui Canário; Gaudêncio Frigotto.</v>
      </c>
      <c r="C743" s="24" t="str">
        <f>IFERROR(__xludf.DUMMYFUNCTION("""COMPUTED_VALUE"""),"Niterói, RJ")</f>
        <v>Niterói, RJ</v>
      </c>
      <c r="D743" s="24" t="str">
        <f>IFERROR(__xludf.DUMMYFUNCTION("""COMPUTED_VALUE"""),"Editora da UFF")</f>
        <v>Editora da UFF</v>
      </c>
      <c r="E743" s="25">
        <f>IFERROR(__xludf.DUMMYFUNCTION("""COMPUTED_VALUE"""),2009.0)</f>
        <v>2009</v>
      </c>
      <c r="F743" s="24" t="str">
        <f>IFERROR(__xludf.DUMMYFUNCTION("""COMPUTED_VALUE"""),"Educação; Pesquisa")</f>
        <v>Educação; Pesquisa</v>
      </c>
      <c r="G743" s="28" t="str">
        <f>IFERROR(__xludf.DUMMYFUNCTION("""COMPUTED_VALUE"""),"9788522805389")</f>
        <v>9788522805389</v>
      </c>
      <c r="H743" s="29" t="str">
        <f>IFERROR(__xludf.DUMMYFUNCTION("""COMPUTED_VALUE"""),"http://bit.ly/Politicas-de-formacao-de-jovens-e-adultos")</f>
        <v>http://bit.ly/Politicas-de-formacao-de-jovens-e-adultos</v>
      </c>
      <c r="I743" s="24" t="str">
        <f>IFERROR(__xludf.DUMMYFUNCTION("""COMPUTED_VALUE"""),"Ciências Humanas")</f>
        <v>Ciências Humanas</v>
      </c>
    </row>
    <row r="744">
      <c r="A744" s="24" t="str">
        <f>IFERROR(__xludf.DUMMYFUNCTION("""COMPUTED_VALUE"""),"Políticas de Formação de Professores no Brasil: Um estudo sobre o PIBID na Região dos Inconfidentes-MG")</f>
        <v>Políticas de Formação de Professores no Brasil: Um estudo sobre o PIBID na Região dos Inconfidentes-MG</v>
      </c>
      <c r="B744" s="24" t="str">
        <f>IFERROR(__xludf.DUMMYFUNCTION("""COMPUTED_VALUE"""),"Andressa Maris Rezende Oliveri")</f>
        <v>Andressa Maris Rezende Oliveri</v>
      </c>
      <c r="C744" s="24" t="str">
        <f>IFERROR(__xludf.DUMMYFUNCTION("""COMPUTED_VALUE"""),"Ouro Preto")</f>
        <v>Ouro Preto</v>
      </c>
      <c r="D744" s="24" t="str">
        <f>IFERROR(__xludf.DUMMYFUNCTION("""COMPUTED_VALUE"""),"UFOP")</f>
        <v>UFOP</v>
      </c>
      <c r="E744" s="25">
        <f>IFERROR(__xludf.DUMMYFUNCTION("""COMPUTED_VALUE"""),2017.0)</f>
        <v>2017</v>
      </c>
      <c r="F744" s="24" t="str">
        <f>IFERROR(__xludf.DUMMYFUNCTION("""COMPUTED_VALUE"""),"Formação de Professores. Educação e Estado. Formação profissional. Professores - Formação")</f>
        <v>Formação de Professores. Educação e Estado. Formação profissional. Professores - Formação</v>
      </c>
      <c r="G744" s="28" t="str">
        <f>IFERROR(__xludf.DUMMYFUNCTION("""COMPUTED_VALUE"""),"9788528803532")</f>
        <v>9788528803532</v>
      </c>
      <c r="H744" s="29" t="str">
        <f>IFERROR(__xludf.DUMMYFUNCTION("""COMPUTED_VALUE"""),"https://www.editora.ufop.br/index.php/editora/catalog/view/126/101/331-1")</f>
        <v>https://www.editora.ufop.br/index.php/editora/catalog/view/126/101/331-1</v>
      </c>
      <c r="I744" s="24" t="str">
        <f>IFERROR(__xludf.DUMMYFUNCTION("""COMPUTED_VALUE"""),"Ciências Humanas")</f>
        <v>Ciências Humanas</v>
      </c>
    </row>
    <row r="745">
      <c r="A745" s="24" t="str">
        <f>IFERROR(__xludf.DUMMYFUNCTION("""COMPUTED_VALUE"""),"Políticas de Integração Curricular")</f>
        <v>Políticas de Integração Curricular</v>
      </c>
      <c r="B745" s="24" t="str">
        <f>IFERROR(__xludf.DUMMYFUNCTION("""COMPUTED_VALUE"""),"Alice Casimiro Lopes")</f>
        <v>Alice Casimiro Lopes</v>
      </c>
      <c r="C745" s="24" t="str">
        <f>IFERROR(__xludf.DUMMYFUNCTION("""COMPUTED_VALUE"""),"Rio de Janeiro")</f>
        <v>Rio de Janeiro</v>
      </c>
      <c r="D745" s="24" t="str">
        <f>IFERROR(__xludf.DUMMYFUNCTION("""COMPUTED_VALUE"""),"EdUERJ")</f>
        <v>EdUERJ</v>
      </c>
      <c r="E745" s="25">
        <f>IFERROR(__xludf.DUMMYFUNCTION("""COMPUTED_VALUE"""),2008.0)</f>
        <v>2008</v>
      </c>
      <c r="F745" s="24" t="str">
        <f>IFERROR(__xludf.DUMMYFUNCTION("""COMPUTED_VALUE"""),"Currículos; Abordagem interdisciplinar; Educação; Ensino médio; Planejamento escolar")</f>
        <v>Currículos; Abordagem interdisciplinar; Educação; Ensino médio; Planejamento escolar</v>
      </c>
      <c r="G745" s="28" t="str">
        <f>IFERROR(__xludf.DUMMYFUNCTION("""COMPUTED_VALUE"""),"9788575111284")</f>
        <v>9788575111284</v>
      </c>
      <c r="H745" s="29" t="str">
        <f>IFERROR(__xludf.DUMMYFUNCTION("""COMPUTED_VALUE"""),"https://www.eduerj.com/eng/?product=politicas-de-integracao-curricular-2")</f>
        <v>https://www.eduerj.com/eng/?product=politicas-de-integracao-curricular-2</v>
      </c>
      <c r="I745" s="24" t="str">
        <f>IFERROR(__xludf.DUMMYFUNCTION("""COMPUTED_VALUE"""),"Ciências Humanas")</f>
        <v>Ciências Humanas</v>
      </c>
    </row>
    <row r="746">
      <c r="A746" s="24" t="str">
        <f>IFERROR(__xludf.DUMMYFUNCTION("""COMPUTED_VALUE"""),"Políticas e monitoramento da qualidade do ensino fundamental: cenáriosmunicipais")</f>
        <v>Políticas e monitoramento da qualidade do ensino fundamental: cenáriosmunicipais</v>
      </c>
      <c r="B746" s="24" t="str">
        <f>IFERROR(__xludf.DUMMYFUNCTION("""COMPUTED_VALUE"""),"Dirce Nei Teixeira de Freitas, Giselle CristinaMartins Real (org.)")</f>
        <v>Dirce Nei Teixeira de Freitas, Giselle CristinaMartins Real (org.)</v>
      </c>
      <c r="C746" s="24" t="str">
        <f>IFERROR(__xludf.DUMMYFUNCTION("""COMPUTED_VALUE"""),"Dourados, MS")</f>
        <v>Dourados, MS</v>
      </c>
      <c r="D746" s="24" t="str">
        <f>IFERROR(__xludf.DUMMYFUNCTION("""COMPUTED_VALUE"""),"Ed. da UFGD")</f>
        <v>Ed. da UFGD</v>
      </c>
      <c r="E746" s="25">
        <f>IFERROR(__xludf.DUMMYFUNCTION("""COMPUTED_VALUE"""),2011.0)</f>
        <v>2011</v>
      </c>
      <c r="F746" s="24" t="str">
        <f>IFERROR(__xludf.DUMMYFUNCTION("""COMPUTED_VALUE"""),"Ensino fundamental – Política; Política educacional – Qualidade")</f>
        <v>Ensino fundamental – Política; Política educacional – Qualidade</v>
      </c>
      <c r="G746" s="28" t="str">
        <f>IFERROR(__xludf.DUMMYFUNCTION("""COMPUTED_VALUE"""),"9788581470139")</f>
        <v>9788581470139</v>
      </c>
      <c r="H746" s="29" t="str">
        <f>IFERROR(__xludf.DUMMYFUNCTION("""COMPUTED_VALUE"""),"http://omp.ufgd.edu.br/omp/index.php/livrosabertos/catalog/view/171/174/454-1")</f>
        <v>http://omp.ufgd.edu.br/omp/index.php/livrosabertos/catalog/view/171/174/454-1</v>
      </c>
      <c r="I746" s="24" t="str">
        <f>IFERROR(__xludf.DUMMYFUNCTION("""COMPUTED_VALUE"""),"Ciências Humanas")</f>
        <v>Ciências Humanas</v>
      </c>
    </row>
    <row r="747">
      <c r="A747" s="24" t="str">
        <f>IFERROR(__xludf.DUMMYFUNCTION("""COMPUTED_VALUE"""),"Políticas e Práticas Culturais")</f>
        <v>Políticas e Práticas Culturais</v>
      </c>
      <c r="B747" s="24" t="str">
        <f>IFERROR(__xludf.DUMMYFUNCTION("""COMPUTED_VALUE"""),"Joana Coeli Ribeiro Garcia, Maria das Graças Targino, Edison Ferreira de Macedo (Orgs.).")</f>
        <v>Joana Coeli Ribeiro Garcia, Maria das Graças Targino, Edison Ferreira de Macedo (Orgs.).</v>
      </c>
      <c r="C747" s="24" t="str">
        <f>IFERROR(__xludf.DUMMYFUNCTION("""COMPUTED_VALUE"""),"João Pessoa")</f>
        <v>João Pessoa</v>
      </c>
      <c r="D747" s="24" t="str">
        <f>IFERROR(__xludf.DUMMYFUNCTION("""COMPUTED_VALUE"""),"Editora da UFPB")</f>
        <v>Editora da UFPB</v>
      </c>
      <c r="E747" s="25">
        <f>IFERROR(__xludf.DUMMYFUNCTION("""COMPUTED_VALUE"""),2014.0)</f>
        <v>2014</v>
      </c>
      <c r="F747" s="24" t="str">
        <f>IFERROR(__xludf.DUMMYFUNCTION("""COMPUTED_VALUE"""),"Cultura; Práticas culturais; Políticas culturais")</f>
        <v>Cultura; Práticas culturais; Políticas culturais</v>
      </c>
      <c r="G747" s="28" t="str">
        <f>IFERROR(__xludf.DUMMYFUNCTION("""COMPUTED_VALUE"""),"9788523708672")</f>
        <v>9788523708672</v>
      </c>
      <c r="H747" s="29" t="str">
        <f>IFERROR(__xludf.DUMMYFUNCTION("""COMPUTED_VALUE"""),"http://www.editora.ufpb.br/sistema/press5/index.php/UFPB/catalog/book/546")</f>
        <v>http://www.editora.ufpb.br/sistema/press5/index.php/UFPB/catalog/book/546</v>
      </c>
      <c r="I747" s="24" t="str">
        <f>IFERROR(__xludf.DUMMYFUNCTION("""COMPUTED_VALUE"""),"Ciências Humanas")</f>
        <v>Ciências Humanas</v>
      </c>
    </row>
    <row r="748">
      <c r="A748" s="24" t="str">
        <f>IFERROR(__xludf.DUMMYFUNCTION("""COMPUTED_VALUE"""),"Políticas educacionais: neoliberalismo, formação de professores, tecnologia, diversidade e inclusão. ")</f>
        <v>Políticas educacionais: neoliberalismo, formação de professores, tecnologia, diversidade e inclusão. </v>
      </c>
      <c r="B748" s="24" t="str">
        <f>IFERROR(__xludf.DUMMYFUNCTION("""COMPUTED_VALUE"""),"Iria Brzezinski, Lúcia Freitas")</f>
        <v>Iria Brzezinski, Lúcia Freitas</v>
      </c>
      <c r="C748" s="24" t="str">
        <f>IFERROR(__xludf.DUMMYFUNCTION("""COMPUTED_VALUE"""),"Anápolis")</f>
        <v>Anápolis</v>
      </c>
      <c r="D748" s="24" t="str">
        <f>IFERROR(__xludf.DUMMYFUNCTION("""COMPUTED_VALUE"""),"UEG")</f>
        <v>UEG</v>
      </c>
      <c r="E748" s="25">
        <f>IFERROR(__xludf.DUMMYFUNCTION("""COMPUTED_VALUE"""),2016.0)</f>
        <v>2016</v>
      </c>
      <c r="F748" s="24" t="str">
        <f>IFERROR(__xludf.DUMMYFUNCTION("""COMPUTED_VALUE"""),"Formação de professores; Política, neoliberalismo e gestão; Tecnologias; Inclusão e diversidade")</f>
        <v>Formação de professores; Política, neoliberalismo e gestão; Tecnologias; Inclusão e diversidade</v>
      </c>
      <c r="G748" s="28" t="str">
        <f>IFERROR(__xludf.DUMMYFUNCTION("""COMPUTED_VALUE"""),"9788555820168")</f>
        <v>9788555820168</v>
      </c>
      <c r="H748" s="29" t="str">
        <f>IFERROR(__xludf.DUMMYFUNCTION("""COMPUTED_VALUE"""),"http://cdn.ueg.edu.br/source/editora_ueg/conteudo_compartilhado/11029/ebook_politicas_educacionais_lucia_freitas_2016.pdf")</f>
        <v>http://cdn.ueg.edu.br/source/editora_ueg/conteudo_compartilhado/11029/ebook_politicas_educacionais_lucia_freitas_2016.pdf</v>
      </c>
      <c r="I748" s="24" t="str">
        <f>IFERROR(__xludf.DUMMYFUNCTION("""COMPUTED_VALUE"""),"Ciências Humanas")</f>
        <v>Ciências Humanas</v>
      </c>
    </row>
    <row r="749">
      <c r="A749" s="24" t="str">
        <f>IFERROR(__xludf.DUMMYFUNCTION("""COMPUTED_VALUE"""),"Políticas para família, gênero e geração")</f>
        <v>Políticas para família, gênero e geração</v>
      </c>
      <c r="B749" s="24" t="str">
        <f>IFERROR(__xludf.DUMMYFUNCTION("""COMPUTED_VALUE"""),"Brites, Jurema; Schabbach, Leticia Maria ")</f>
        <v>Brites, Jurema; Schabbach, Leticia Maria </v>
      </c>
      <c r="C749" s="24" t="str">
        <f>IFERROR(__xludf.DUMMYFUNCTION("""COMPUTED_VALUE"""),"Porto Alegre")</f>
        <v>Porto Alegre</v>
      </c>
      <c r="D749" s="24" t="str">
        <f>IFERROR(__xludf.DUMMYFUNCTION("""COMPUTED_VALUE"""),"UFRGS")</f>
        <v>UFRGS</v>
      </c>
      <c r="E749" s="25">
        <f>IFERROR(__xludf.DUMMYFUNCTION("""COMPUTED_VALUE"""),2014.0)</f>
        <v>2014</v>
      </c>
      <c r="F749" s="24" t="str">
        <f>IFERROR(__xludf.DUMMYFUNCTION("""COMPUTED_VALUE"""),"Empoderamento feminino; Família; Gênero; Homofobia nas escolas; Idoso : Rio Grande do Sul; Políticas públicas")</f>
        <v>Empoderamento feminino; Família; Gênero; Homofobia nas escolas; Idoso : Rio Grande do Sul; Políticas públicas</v>
      </c>
      <c r="G749" s="28" t="str">
        <f>IFERROR(__xludf.DUMMYFUNCTION("""COMPUTED_VALUE"""),"9788538605119")</f>
        <v>9788538605119</v>
      </c>
      <c r="H749" s="29" t="str">
        <f>IFERROR(__xludf.DUMMYFUNCTION("""COMPUTED_VALUE"""),"http://hdl.handle.net/10183/213378")</f>
        <v>http://hdl.handle.net/10183/213378</v>
      </c>
      <c r="I749" s="24" t="str">
        <f>IFERROR(__xludf.DUMMYFUNCTION("""COMPUTED_VALUE"""),"Ciências Humanas")</f>
        <v>Ciências Humanas</v>
      </c>
    </row>
    <row r="750">
      <c r="A750" s="24" t="str">
        <f>IFERROR(__xludf.DUMMYFUNCTION("""COMPUTED_VALUE"""),"Políticas públicas da educação superior: gestão, avaliação e financiamento")</f>
        <v>Políticas públicas da educação superior: gestão, avaliação e financiamento</v>
      </c>
      <c r="B750" s="24" t="str">
        <f>IFERROR(__xludf.DUMMYFUNCTION("""COMPUTED_VALUE"""),"Edineide Jezine, Maria da Salete Barboza de Farias, Maria das Graças Gonçalves Vieira Guerra (organizadores)")</f>
        <v>Edineide Jezine, Maria da Salete Barboza de Farias, Maria das Graças Gonçalves Vieira Guerra (organizadores)</v>
      </c>
      <c r="C750" s="24" t="str">
        <f>IFERROR(__xludf.DUMMYFUNCTION("""COMPUTED_VALUE"""),"João Pessoa")</f>
        <v>João Pessoa</v>
      </c>
      <c r="D750" s="24" t="str">
        <f>IFERROR(__xludf.DUMMYFUNCTION("""COMPUTED_VALUE"""),"Editora da UFPB")</f>
        <v>Editora da UFPB</v>
      </c>
      <c r="E750" s="25">
        <f>IFERROR(__xludf.DUMMYFUNCTION("""COMPUTED_VALUE"""),2018.0)</f>
        <v>2018</v>
      </c>
      <c r="F750" s="24" t="str">
        <f>IFERROR(__xludf.DUMMYFUNCTION("""COMPUTED_VALUE"""),"Educação superior; Avaliação da educação; Políticas públicas")</f>
        <v>Educação superior; Avaliação da educação; Políticas públicas</v>
      </c>
      <c r="G750" s="28" t="str">
        <f>IFERROR(__xludf.DUMMYFUNCTION("""COMPUTED_VALUE"""),"9788523713041")</f>
        <v>9788523713041</v>
      </c>
      <c r="H750" s="29" t="str">
        <f>IFERROR(__xludf.DUMMYFUNCTION("""COMPUTED_VALUE"""),"http://www.editora.ufpb.br/sistema/press5/index.php/UFPB/catalog/book/492")</f>
        <v>http://www.editora.ufpb.br/sistema/press5/index.php/UFPB/catalog/book/492</v>
      </c>
      <c r="I750" s="24" t="str">
        <f>IFERROR(__xludf.DUMMYFUNCTION("""COMPUTED_VALUE"""),"Ciências Humanas")</f>
        <v>Ciências Humanas</v>
      </c>
    </row>
    <row r="751">
      <c r="A751" s="24" t="str">
        <f>IFERROR(__xludf.DUMMYFUNCTION("""COMPUTED_VALUE"""),"Políticas, práticas pedagógicas e formação: dispositivos para a escolarização de alunos(as) com deficiência")</f>
        <v>Políticas, práticas pedagógicas e formação: dispositivos para a escolarização de alunos(as) com deficiência</v>
      </c>
      <c r="B751" s="24" t="str">
        <f>IFERROR(__xludf.DUMMYFUNCTION("""COMPUTED_VALUE"""),"organizadores, Denise Meyrelles de Jesus, Maria das Graças Carvalho Silva de Sá")</f>
        <v>organizadores, Denise Meyrelles de Jesus, Maria das Graças Carvalho Silva de Sá</v>
      </c>
      <c r="C751" s="24" t="str">
        <f>IFERROR(__xludf.DUMMYFUNCTION("""COMPUTED_VALUE"""),"Vitória")</f>
        <v>Vitória</v>
      </c>
      <c r="D751" s="24" t="str">
        <f>IFERROR(__xludf.DUMMYFUNCTION("""COMPUTED_VALUE"""),"EDUFES")</f>
        <v>EDUFES</v>
      </c>
      <c r="E751" s="25">
        <f>IFERROR(__xludf.DUMMYFUNCTION("""COMPUTED_VALUE"""),2013.0)</f>
        <v>2013</v>
      </c>
      <c r="F751" s="24" t="str">
        <f>IFERROR(__xludf.DUMMYFUNCTION("""COMPUTED_VALUE"""),"Educação inclusiva; Inclusão escolar; Educação especial; Crianças deficientes; Educação")</f>
        <v>Educação inclusiva; Inclusão escolar; Educação especial; Crianças deficientes; Educação</v>
      </c>
      <c r="G751" s="28" t="str">
        <f>IFERROR(__xludf.DUMMYFUNCTION("""COMPUTED_VALUE"""),"9788577721351")</f>
        <v>9788577721351</v>
      </c>
      <c r="H751" s="29" t="str">
        <f>IFERROR(__xludf.DUMMYFUNCTION("""COMPUTED_VALUE"""),"http://repositorio.ufes.br/bitstream/10/790/1/livro%20edufes%20politicas%2C%20praticas%20pedagogicas%20e%20formacao%20dispositivos%20para%20a%20escolariza%C3%A7%C3%A3o%20de%20alunos%28as%29%20com%20defici%C3%AAncia.pdf")</f>
        <v>http://repositorio.ufes.br/bitstream/10/790/1/livro%20edufes%20politicas%2C%20praticas%20pedagogicas%20e%20formacao%20dispositivos%20para%20a%20escolariza%C3%A7%C3%A3o%20de%20alunos%28as%29%20com%20defici%C3%AAncia.pdf</v>
      </c>
      <c r="I751" s="24" t="str">
        <f>IFERROR(__xludf.DUMMYFUNCTION("""COMPUTED_VALUE"""),"Ciências Humanas")</f>
        <v>Ciências Humanas</v>
      </c>
    </row>
    <row r="752">
      <c r="A752" s="24" t="str">
        <f>IFERROR(__xludf.DUMMYFUNCTION("""COMPUTED_VALUE"""),"Por baixo dos panos: governadores e assembleias no Brasil contemporâneo")</f>
        <v>Por baixo dos panos: governadores e assembleias no Brasil contemporâneo</v>
      </c>
      <c r="B752" s="24" t="str">
        <f>IFERROR(__xludf.DUMMYFUNCTION("""COMPUTED_VALUE"""),"André Ricardo Valle Vasco Pereira")</f>
        <v>André Ricardo Valle Vasco Pereira</v>
      </c>
      <c r="C752" s="24" t="str">
        <f>IFERROR(__xludf.DUMMYFUNCTION("""COMPUTED_VALUE"""),"Vitória")</f>
        <v>Vitória</v>
      </c>
      <c r="D752" s="24" t="str">
        <f>IFERROR(__xludf.DUMMYFUNCTION("""COMPUTED_VALUE"""),"EDUFES")</f>
        <v>EDUFES</v>
      </c>
      <c r="E752" s="25">
        <f>IFERROR(__xludf.DUMMYFUNCTION("""COMPUTED_VALUE"""),2014.0)</f>
        <v>2014</v>
      </c>
      <c r="F752" s="24" t="str">
        <f>IFERROR(__xludf.DUMMYFUNCTION("""COMPUTED_VALUE"""),"Poder executivo; Poder legislativo; Política; Governo")</f>
        <v>Poder executivo; Poder legislativo; Política; Governo</v>
      </c>
      <c r="G752" s="28" t="str">
        <f>IFERROR(__xludf.DUMMYFUNCTION("""COMPUTED_VALUE"""),"9788577722532")</f>
        <v>9788577722532</v>
      </c>
      <c r="H752" s="29" t="str">
        <f>IFERROR(__xludf.DUMMYFUNCTION("""COMPUTED_VALUE"""),"http://repositorio.ufes.br/handle/10/1902")</f>
        <v>http://repositorio.ufes.br/handle/10/1902</v>
      </c>
      <c r="I752" s="24" t="str">
        <f>IFERROR(__xludf.DUMMYFUNCTION("""COMPUTED_VALUE"""),"Ciências Humanas")</f>
        <v>Ciências Humanas</v>
      </c>
    </row>
    <row r="753">
      <c r="A753" s="24" t="str">
        <f>IFERROR(__xludf.DUMMYFUNCTION("""COMPUTED_VALUE"""),"Por uma nova textura histórica: O movimento dos professores indígenas Guarani/Kaiová em Mato Grosso do Sul – 1988 a 2000")</f>
        <v>Por uma nova textura histórica: O movimento dos professores indígenas Guarani/Kaiová em Mato Grosso do Sul – 1988 a 2000</v>
      </c>
      <c r="B753" s="24" t="str">
        <f>IFERROR(__xludf.DUMMYFUNCTION("""COMPUTED_VALUE"""),"Renata Lourenço")</f>
        <v>Renata Lourenço</v>
      </c>
      <c r="C753" s="24" t="str">
        <f>IFERROR(__xludf.DUMMYFUNCTION("""COMPUTED_VALUE"""),"Dourados, MS")</f>
        <v>Dourados, MS</v>
      </c>
      <c r="D753" s="24" t="str">
        <f>IFERROR(__xludf.DUMMYFUNCTION("""COMPUTED_VALUE"""),"Editora UEMS")</f>
        <v>Editora UEMS</v>
      </c>
      <c r="E753" s="25">
        <f>IFERROR(__xludf.DUMMYFUNCTION("""COMPUTED_VALUE"""),2013.0)</f>
        <v>2013</v>
      </c>
      <c r="F753" s="24"/>
      <c r="G753" s="28" t="str">
        <f>IFERROR(__xludf.DUMMYFUNCTION("""COMPUTED_VALUE"""),"9788599880586")</f>
        <v>9788599880586</v>
      </c>
      <c r="H753" s="29" t="str">
        <f>IFERROR(__xludf.DUMMYFUNCTION("""COMPUTED_VALUE"""),"http://www.uems.br/assets/uploads/editora/arquivos/1_2016-09-02_09-46-43.pdf")</f>
        <v>http://www.uems.br/assets/uploads/editora/arquivos/1_2016-09-02_09-46-43.pdf</v>
      </c>
      <c r="I753" s="24" t="str">
        <f>IFERROR(__xludf.DUMMYFUNCTION("""COMPUTED_VALUE"""),"Ciências Humanas")</f>
        <v>Ciências Humanas</v>
      </c>
    </row>
    <row r="754">
      <c r="A754" s="24" t="str">
        <f>IFERROR(__xludf.DUMMYFUNCTION("""COMPUTED_VALUE"""),"Portos e cidades: movimentos portuários, atlântico e diáspora africana")</f>
        <v>Portos e cidades: movimentos portuários, atlântico e diáspora africana</v>
      </c>
      <c r="B754" s="24" t="str">
        <f>IFERROR(__xludf.DUMMYFUNCTION("""COMPUTED_VALUE"""),"Flávio Gonçalves dos Santos (org.)")</f>
        <v>Flávio Gonçalves dos Santos (org.)</v>
      </c>
      <c r="C754" s="24" t="str">
        <f>IFERROR(__xludf.DUMMYFUNCTION("""COMPUTED_VALUE"""),"Ilhéus, BA")</f>
        <v>Ilhéus, BA</v>
      </c>
      <c r="D754" s="24" t="str">
        <f>IFERROR(__xludf.DUMMYFUNCTION("""COMPUTED_VALUE"""),"Editus")</f>
        <v>Editus</v>
      </c>
      <c r="E754" s="25">
        <f>IFERROR(__xludf.DUMMYFUNCTION("""COMPUTED_VALUE"""),2011.0)</f>
        <v>2011</v>
      </c>
      <c r="F754" s="24" t="str">
        <f>IFERROR(__xludf.DUMMYFUNCTION("""COMPUTED_VALUE"""),"Portos – Ilhéus (BA) – História; Terminal intermodal –; Região Sul (BA); Terminal Portuário Bahia Mineração;Impacto ambiental – Terminal intermodal – Região Sul (BA); Diáspora africana")</f>
        <v>Portos – Ilhéus (BA) – História; Terminal intermodal –; Região Sul (BA); Terminal Portuário Bahia Mineração;Impacto ambiental – Terminal intermodal – Região Sul (BA); Diáspora africana</v>
      </c>
      <c r="G754" s="28" t="str">
        <f>IFERROR(__xludf.DUMMYFUNCTION("""COMPUTED_VALUE"""),"9788574552620")</f>
        <v>9788574552620</v>
      </c>
      <c r="H754" s="29" t="str">
        <f>IFERROR(__xludf.DUMMYFUNCTION("""COMPUTED_VALUE"""),"http://www.uesc.br/editora/livrosdigitais/portoecidades.pdf")</f>
        <v>http://www.uesc.br/editora/livrosdigitais/portoecidades.pdf</v>
      </c>
      <c r="I754" s="24" t="str">
        <f>IFERROR(__xludf.DUMMYFUNCTION("""COMPUTED_VALUE"""),"Ciências Humanas")</f>
        <v>Ciências Humanas</v>
      </c>
    </row>
    <row r="755">
      <c r="A755" s="24" t="str">
        <f>IFERROR(__xludf.DUMMYFUNCTION("""COMPUTED_VALUE"""),"Posso ler, posso pensar: leitura em construção")</f>
        <v>Posso ler, posso pensar: leitura em construção</v>
      </c>
      <c r="B755" s="24" t="str">
        <f>IFERROR(__xludf.DUMMYFUNCTION("""COMPUTED_VALUE"""),"Iduína Mont´alverne Chaves")</f>
        <v>Iduína Mont´alverne Chaves</v>
      </c>
      <c r="C755" s="24" t="str">
        <f>IFERROR(__xludf.DUMMYFUNCTION("""COMPUTED_VALUE"""),"Niterói, RJ")</f>
        <v>Niterói, RJ</v>
      </c>
      <c r="D755" s="24" t="str">
        <f>IFERROR(__xludf.DUMMYFUNCTION("""COMPUTED_VALUE"""),"Editora da UFF")</f>
        <v>Editora da UFF</v>
      </c>
      <c r="E755" s="25">
        <f>IFERROR(__xludf.DUMMYFUNCTION("""COMPUTED_VALUE"""),2009.0)</f>
        <v>2009</v>
      </c>
      <c r="F755" s="24" t="str">
        <f>IFERROR(__xludf.DUMMYFUNCTION("""COMPUTED_VALUE"""),"Ensino de alfabetização; Infantil")</f>
        <v>Ensino de alfabetização; Infantil</v>
      </c>
      <c r="G755" s="28" t="str">
        <f>IFERROR(__xludf.DUMMYFUNCTION("""COMPUTED_VALUE"""),"9788522805365")</f>
        <v>9788522805365</v>
      </c>
      <c r="H755" s="29" t="str">
        <f>IFERROR(__xludf.DUMMYFUNCTION("""COMPUTED_VALUE"""),"http://bit.ly/Posso-ler-posso-pensar")</f>
        <v>http://bit.ly/Posso-ler-posso-pensar</v>
      </c>
      <c r="I755" s="24" t="str">
        <f>IFERROR(__xludf.DUMMYFUNCTION("""COMPUTED_VALUE"""),"Ciências Humanas")</f>
        <v>Ciências Humanas</v>
      </c>
    </row>
    <row r="756">
      <c r="A756" s="24" t="str">
        <f>IFERROR(__xludf.DUMMYFUNCTION("""COMPUTED_VALUE"""),"Povos indígenas em Mato Grosso do Sul: história, cultura e transformações sociais.")</f>
        <v>Povos indígenas em Mato Grosso do Sul: história, cultura e transformações sociais.</v>
      </c>
      <c r="B756" s="24" t="str">
        <f>IFERROR(__xludf.DUMMYFUNCTION("""COMPUTED_VALUE"""),"(org.) Graciela Chamorro, Isabelle Combès")</f>
        <v>(org.) Graciela Chamorro, Isabelle Combès</v>
      </c>
      <c r="C756" s="24" t="str">
        <f>IFERROR(__xludf.DUMMYFUNCTION("""COMPUTED_VALUE"""),"Dourados, MS")</f>
        <v>Dourados, MS</v>
      </c>
      <c r="D756" s="24" t="str">
        <f>IFERROR(__xludf.DUMMYFUNCTION("""COMPUTED_VALUE"""),"Ed. UFGD")</f>
        <v>Ed. UFGD</v>
      </c>
      <c r="E756" s="25">
        <f>IFERROR(__xludf.DUMMYFUNCTION("""COMPUTED_VALUE"""),2018.0)</f>
        <v>2018</v>
      </c>
      <c r="F756" s="24" t="str">
        <f>IFERROR(__xludf.DUMMYFUNCTION("""COMPUTED_VALUE"""),"Cultura indígena; História indígena; Mato Grosso do Sul")</f>
        <v>Cultura indígena; História indígena; Mato Grosso do Sul</v>
      </c>
      <c r="G756" s="28" t="str">
        <f>IFERROR(__xludf.DUMMYFUNCTION("""COMPUTED_VALUE"""),"9788581471204")</f>
        <v>9788581471204</v>
      </c>
      <c r="H756" s="29" t="str">
        <f>IFERROR(__xludf.DUMMYFUNCTION("""COMPUTED_VALUE"""),"http://omp.ufgd.edu.br/omp/index.php/livrosabertos/catalog/view/172/233/515-1")</f>
        <v>http://omp.ufgd.edu.br/omp/index.php/livrosabertos/catalog/view/172/233/515-1</v>
      </c>
      <c r="I756" s="24" t="str">
        <f>IFERROR(__xludf.DUMMYFUNCTION("""COMPUTED_VALUE"""),"Ciências Humanas")</f>
        <v>Ciências Humanas</v>
      </c>
    </row>
    <row r="757">
      <c r="A757" s="24" t="str">
        <f>IFERROR(__xludf.DUMMYFUNCTION("""COMPUTED_VALUE"""),"Práticas e saberes de extensão: volume VI")</f>
        <v>Práticas e saberes de extensão: volume VI</v>
      </c>
      <c r="B757" s="24" t="str">
        <f>IFERROR(__xludf.DUMMYFUNCTION("""COMPUTED_VALUE"""),"Nicoleit, Evânio Ramos; Ceretta, Luciane Bisognin; Hoffman, Marta Valéria Guimarães de Souza; Padula, Miquele Lazarin")</f>
        <v>Nicoleit, Evânio Ramos; Ceretta, Luciane Bisognin; Hoffman, Marta Valéria Guimarães de Souza; Padula, Miquele Lazarin</v>
      </c>
      <c r="C757" s="24" t="str">
        <f>IFERROR(__xludf.DUMMYFUNCTION("""COMPUTED_VALUE"""),"Criciúma")</f>
        <v>Criciúma</v>
      </c>
      <c r="D757" s="24" t="str">
        <f>IFERROR(__xludf.DUMMYFUNCTION("""COMPUTED_VALUE"""),"Unesc")</f>
        <v>Unesc</v>
      </c>
      <c r="E757" s="25">
        <f>IFERROR(__xludf.DUMMYFUNCTION("""COMPUTED_VALUE"""),2016.0)</f>
        <v>2016</v>
      </c>
      <c r="F757" s="24" t="str">
        <f>IFERROR(__xludf.DUMMYFUNCTION("""COMPUTED_VALUE"""),"Extensão universitária; Prática de ensino; Educação ambiental; Inclusão digital; Projetos culturais")</f>
        <v>Extensão universitária; Prática de ensino; Educação ambiental; Inclusão digital; Projetos culturais</v>
      </c>
      <c r="G757" s="28" t="str">
        <f>IFERROR(__xludf.DUMMYFUNCTION("""COMPUTED_VALUE"""),"9788584100620")</f>
        <v>9788584100620</v>
      </c>
      <c r="H757" s="29" t="str">
        <f>IFERROR(__xludf.DUMMYFUNCTION("""COMPUTED_VALUE"""),"http://repositorio.unesc.net/handle/1/5136")</f>
        <v>http://repositorio.unesc.net/handle/1/5136</v>
      </c>
      <c r="I757" s="24" t="str">
        <f>IFERROR(__xludf.DUMMYFUNCTION("""COMPUTED_VALUE"""),"Ciências Humanas")</f>
        <v>Ciências Humanas</v>
      </c>
    </row>
    <row r="758">
      <c r="A758" s="24" t="str">
        <f>IFERROR(__xludf.DUMMYFUNCTION("""COMPUTED_VALUE"""),"Práticas em psicologia escolar: do ensino técnico ao superior - volume 11")</f>
        <v>Práticas em psicologia escolar: do ensino técnico ao superior - volume 11</v>
      </c>
      <c r="B758" s="24" t="str">
        <f>IFERROR(__xludf.DUMMYFUNCTION("""COMPUTED_VALUE"""),"Fauston Negreiros, Marilene Proença Rebello de Souza (org.)")</f>
        <v>Fauston Negreiros, Marilene Proença Rebello de Souza (org.)</v>
      </c>
      <c r="C758" s="24" t="str">
        <f>IFERROR(__xludf.DUMMYFUNCTION("""COMPUTED_VALUE"""),"Teresina")</f>
        <v>Teresina</v>
      </c>
      <c r="D758" s="24" t="str">
        <f>IFERROR(__xludf.DUMMYFUNCTION("""COMPUTED_VALUE"""),"Editora da UFPI")</f>
        <v>Editora da UFPI</v>
      </c>
      <c r="E758" s="25">
        <f>IFERROR(__xludf.DUMMYFUNCTION("""COMPUTED_VALUE"""),2020.0)</f>
        <v>2020</v>
      </c>
      <c r="F758" s="24" t="str">
        <f>IFERROR(__xludf.DUMMYFUNCTION("""COMPUTED_VALUE"""),"Psicologia Escolar; Psicólogo; Ensino; Técnico; Ensino Superior")</f>
        <v>Psicologia Escolar; Psicólogo; Ensino; Técnico; Ensino Superior</v>
      </c>
      <c r="G758" s="28" t="str">
        <f>IFERROR(__xludf.DUMMYFUNCTION("""COMPUTED_VALUE"""),"9786586171280")</f>
        <v>9786586171280</v>
      </c>
      <c r="H758" s="29" t="str">
        <f>IFERROR(__xludf.DUMMYFUNCTION("""COMPUTED_VALUE"""),"https://www.ufpi.br/arquivos_download/arquivos/VOLUME_1120200624121508.pdf")</f>
        <v>https://www.ufpi.br/arquivos_download/arquivos/VOLUME_1120200624121508.pdf</v>
      </c>
      <c r="I758" s="24" t="str">
        <f>IFERROR(__xludf.DUMMYFUNCTION("""COMPUTED_VALUE"""),"Ciências Humanas")</f>
        <v>Ciências Humanas</v>
      </c>
    </row>
    <row r="759">
      <c r="A759" s="24" t="str">
        <f>IFERROR(__xludf.DUMMYFUNCTION("""COMPUTED_VALUE"""),"Práticas em psicologia escolar: do ensino técnico ao superior - volume 12")</f>
        <v>Práticas em psicologia escolar: do ensino técnico ao superior - volume 12</v>
      </c>
      <c r="B759" s="24" t="str">
        <f>IFERROR(__xludf.DUMMYFUNCTION("""COMPUTED_VALUE"""),"Fauston Negreiros, Marilene Proença Rebello de Souza (org.)")</f>
        <v>Fauston Negreiros, Marilene Proença Rebello de Souza (org.)</v>
      </c>
      <c r="C759" s="24" t="str">
        <f>IFERROR(__xludf.DUMMYFUNCTION("""COMPUTED_VALUE"""),"Teresina")</f>
        <v>Teresina</v>
      </c>
      <c r="D759" s="24" t="str">
        <f>IFERROR(__xludf.DUMMYFUNCTION("""COMPUTED_VALUE"""),"Editora da UFPI")</f>
        <v>Editora da UFPI</v>
      </c>
      <c r="E759" s="25">
        <f>IFERROR(__xludf.DUMMYFUNCTION("""COMPUTED_VALUE"""),2020.0)</f>
        <v>2020</v>
      </c>
      <c r="F759" s="24" t="str">
        <f>IFERROR(__xludf.DUMMYFUNCTION("""COMPUTED_VALUE"""),"Psicologia Escolar; Psicólogo; Ensino; Técnico; Ensino Superior")</f>
        <v>Psicologia Escolar; Psicólogo; Ensino; Técnico; Ensino Superior</v>
      </c>
      <c r="G759" s="28" t="str">
        <f>IFERROR(__xludf.DUMMYFUNCTION("""COMPUTED_VALUE"""),"9786586171341")</f>
        <v>9786586171341</v>
      </c>
      <c r="H759" s="29" t="str">
        <f>IFERROR(__xludf.DUMMYFUNCTION("""COMPUTED_VALUE"""),"https://www.ufpi.br/arquivos_download/arquivos/VOLUME_1220200624122002.pdf")</f>
        <v>https://www.ufpi.br/arquivos_download/arquivos/VOLUME_1220200624122002.pdf</v>
      </c>
      <c r="I759" s="24" t="str">
        <f>IFERROR(__xludf.DUMMYFUNCTION("""COMPUTED_VALUE"""),"Ciências Humanas")</f>
        <v>Ciências Humanas</v>
      </c>
    </row>
    <row r="760">
      <c r="A760" s="24" t="str">
        <f>IFERROR(__xludf.DUMMYFUNCTION("""COMPUTED_VALUE"""),"Práticas Geográficas : Experiências De Pesquisa E Ensino De Geografia No Estado Da Paraíba")</f>
        <v>Práticas Geográficas : Experiências De Pesquisa E Ensino De Geografia No Estado Da Paraíba</v>
      </c>
      <c r="B760" s="24" t="str">
        <f>IFERROR(__xludf.DUMMYFUNCTION("""COMPUTED_VALUE"""),"Rafael Albuquerque Xavier; Lediam Rodrigues Lopes Ramos Reinaldo; João Damasceno (org.)")</f>
        <v>Rafael Albuquerque Xavier; Lediam Rodrigues Lopes Ramos Reinaldo; João Damasceno (org.)</v>
      </c>
      <c r="C760" s="24" t="str">
        <f>IFERROR(__xludf.DUMMYFUNCTION("""COMPUTED_VALUE"""),"Campina Grande")</f>
        <v>Campina Grande</v>
      </c>
      <c r="D760" s="24" t="str">
        <f>IFERROR(__xludf.DUMMYFUNCTION("""COMPUTED_VALUE"""),"EDUEPB")</f>
        <v>EDUEPB</v>
      </c>
      <c r="E760" s="25">
        <f>IFERROR(__xludf.DUMMYFUNCTION("""COMPUTED_VALUE"""),2017.0)</f>
        <v>2017</v>
      </c>
      <c r="F760" s="24" t="str">
        <f>IFERROR(__xludf.DUMMYFUNCTION("""COMPUTED_VALUE"""),"Geografia. Bacia Hidrográfica do Rio Paraíba (PB). Geomorfologia. Educação. Ensino de geografia")</f>
        <v>Geografia. Bacia Hidrográfica do Rio Paraíba (PB). Geomorfologia. Educação. Ensino de geografia</v>
      </c>
      <c r="G760" s="28" t="str">
        <f>IFERROR(__xludf.DUMMYFUNCTION("""COMPUTED_VALUE"""),"9788578794316")</f>
        <v>9788578794316</v>
      </c>
      <c r="H760" s="29" t="str">
        <f>IFERROR(__xludf.DUMMYFUNCTION("""COMPUTED_VALUE"""),"http://eduepb.uepb.edu.br/download/praticas-geograficas-experiencias-de-pesquisa-e-ensino-de-geografia-no-estado-da-paraiba/?wpdmdl=214&amp;amp;masterkey=5af9a06a1c617")</f>
        <v>http://eduepb.uepb.edu.br/download/praticas-geograficas-experiencias-de-pesquisa-e-ensino-de-geografia-no-estado-da-paraiba/?wpdmdl=214&amp;amp;masterkey=5af9a06a1c617</v>
      </c>
      <c r="I760" s="24" t="str">
        <f>IFERROR(__xludf.DUMMYFUNCTION("""COMPUTED_VALUE"""),"Ciências Humanas")</f>
        <v>Ciências Humanas</v>
      </c>
    </row>
    <row r="761">
      <c r="A761" s="24" t="str">
        <f>IFERROR(__xludf.DUMMYFUNCTION("""COMPUTED_VALUE"""),"Precariedade e resistência: a metrópole como palco das lutas sociais")</f>
        <v>Precariedade e resistência: a metrópole como palco das lutas sociais</v>
      </c>
      <c r="B761" s="24" t="str">
        <f>IFERROR(__xludf.DUMMYFUNCTION("""COMPUTED_VALUE"""),"Carolina Salomão Corrêa")</f>
        <v>Carolina Salomão Corrêa</v>
      </c>
      <c r="C761" s="24" t="str">
        <f>IFERROR(__xludf.DUMMYFUNCTION("""COMPUTED_VALUE"""),"Rio de Janeiro")</f>
        <v>Rio de Janeiro</v>
      </c>
      <c r="D761" s="24" t="str">
        <f>IFERROR(__xludf.DUMMYFUNCTION("""COMPUTED_VALUE"""),"Editora PUC Rio")</f>
        <v>Editora PUC Rio</v>
      </c>
      <c r="E761" s="25">
        <f>IFERROR(__xludf.DUMMYFUNCTION("""COMPUTED_VALUE"""),2018.0)</f>
        <v>2018</v>
      </c>
      <c r="F761" s="24" t="str">
        <f>IFERROR(__xludf.DUMMYFUNCTION("""COMPUTED_VALUE"""),"Lutas sociais-trabalho")</f>
        <v>Lutas sociais-trabalho</v>
      </c>
      <c r="G761" s="28" t="str">
        <f>IFERROR(__xludf.DUMMYFUNCTION("""COMPUTED_VALUE"""),"9788567477312")</f>
        <v>9788567477312</v>
      </c>
      <c r="H761" s="29" t="str">
        <f>IFERROR(__xludf.DUMMYFUNCTION("""COMPUTED_VALUE"""),"http://www.editora.puc-rio.br/media/Precariedade%20e%20resistencia.pdf")</f>
        <v>http://www.editora.puc-rio.br/media/Precariedade%20e%20resistencia.pdf</v>
      </c>
      <c r="I761" s="24" t="str">
        <f>IFERROR(__xludf.DUMMYFUNCTION("""COMPUTED_VALUE"""),"Ciências Humanas")</f>
        <v>Ciências Humanas</v>
      </c>
    </row>
    <row r="762">
      <c r="A762" s="24" t="str">
        <f>IFERROR(__xludf.DUMMYFUNCTION("""COMPUTED_VALUE"""),"Prédio Reitoria da UFRPE: Resgate Histórico 1935 - 2009")</f>
        <v>Prédio Reitoria da UFRPE: Resgate Histórico 1935 - 2009</v>
      </c>
      <c r="B762" s="24" t="str">
        <f>IFERROR(__xludf.DUMMYFUNCTION("""COMPUTED_VALUE"""),"Conceição Martins e Maria do Rosário de Fátima de Andrade Leitão")</f>
        <v>Conceição Martins e Maria do Rosário de Fátima de Andrade Leitão</v>
      </c>
      <c r="C762" s="24" t="str">
        <f>IFERROR(__xludf.DUMMYFUNCTION("""COMPUTED_VALUE"""),"Recife")</f>
        <v>Recife</v>
      </c>
      <c r="D762" s="24" t="str">
        <f>IFERROR(__xludf.DUMMYFUNCTION("""COMPUTED_VALUE"""),"Editora Universitária da UFRPE")</f>
        <v>Editora Universitária da UFRPE</v>
      </c>
      <c r="E762" s="25">
        <f>IFERROR(__xludf.DUMMYFUNCTION("""COMPUTED_VALUE"""),2009.0)</f>
        <v>2009</v>
      </c>
      <c r="F762" s="24" t="str">
        <f>IFERROR(__xludf.DUMMYFUNCTION("""COMPUTED_VALUE"""),"História institucional; Pernambuco; Arquitetura moderna; Memória; Universidades e faculdades")</f>
        <v>História institucional; Pernambuco; Arquitetura moderna; Memória; Universidades e faculdades</v>
      </c>
      <c r="G762" s="28" t="str">
        <f>IFERROR(__xludf.DUMMYFUNCTION("""COMPUTED_VALUE"""),"9788579460104")</f>
        <v>9788579460104</v>
      </c>
      <c r="H762" s="29" t="str">
        <f>IFERROR(__xludf.DUMMYFUNCTION("""COMPUTED_VALUE"""),"http://www.dropbox.com/s/7ak02t9ns1779hb/Livro_Predio_da_Reitoria.pdf")</f>
        <v>http://www.dropbox.com/s/7ak02t9ns1779hb/Livro_Predio_da_Reitoria.pdf</v>
      </c>
      <c r="I762" s="24" t="str">
        <f>IFERROR(__xludf.DUMMYFUNCTION("""COMPUTED_VALUE"""),"Ciências Humanas")</f>
        <v>Ciências Humanas</v>
      </c>
    </row>
    <row r="763">
      <c r="A763" s="24" t="str">
        <f>IFERROR(__xludf.DUMMYFUNCTION("""COMPUTED_VALUE"""),"Prepara ENEM")</f>
        <v>Prepara ENEM</v>
      </c>
      <c r="B763" s="24" t="str">
        <f>IFERROR(__xludf.DUMMYFUNCTION("""COMPUTED_VALUE"""),"Cardoso, Ana Lúcia; Rabelo, Andréa Marcelino; Back, Angela Cristina Di Palma; Oliveira, Eloisa da Rosa; Cascaes, Mainara Figueiredo; Just, Márcio Carlos")</f>
        <v>Cardoso, Ana Lúcia; Rabelo, Andréa Marcelino; Back, Angela Cristina Di Palma; Oliveira, Eloisa da Rosa; Cascaes, Mainara Figueiredo; Just, Márcio Carlos</v>
      </c>
      <c r="C763" s="24" t="str">
        <f>IFERROR(__xludf.DUMMYFUNCTION("""COMPUTED_VALUE"""),"Criciúma")</f>
        <v>Criciúma</v>
      </c>
      <c r="D763" s="24" t="str">
        <f>IFERROR(__xludf.DUMMYFUNCTION("""COMPUTED_VALUE"""),"UNESC")</f>
        <v>UNESC</v>
      </c>
      <c r="E763" s="25">
        <f>IFERROR(__xludf.DUMMYFUNCTION("""COMPUTED_VALUE"""),2016.0)</f>
        <v>2016</v>
      </c>
      <c r="F763" s="24" t="str">
        <f>IFERROR(__xludf.DUMMYFUNCTION("""COMPUTED_VALUE"""),"Exame Nacional do Ensino Médio - Compêndios; Ensino médio - Compêndios; Ensino médio - Problemas, questões, exercícios")</f>
        <v>Exame Nacional do Ensino Médio - Compêndios; Ensino médio - Compêndios; Ensino médio - Problemas, questões, exercícios</v>
      </c>
      <c r="G763" s="28" t="str">
        <f>IFERROR(__xludf.DUMMYFUNCTION("""COMPUTED_VALUE"""),"9788584100507")</f>
        <v>9788584100507</v>
      </c>
      <c r="H763" s="29" t="str">
        <f>IFERROR(__xludf.DUMMYFUNCTION("""COMPUTED_VALUE"""),"http://repositorio.unesc.net/handle/1/4025")</f>
        <v>http://repositorio.unesc.net/handle/1/4025</v>
      </c>
      <c r="I763" s="24" t="str">
        <f>IFERROR(__xludf.DUMMYFUNCTION("""COMPUTED_VALUE"""),"Ciências Humanas")</f>
        <v>Ciências Humanas</v>
      </c>
    </row>
    <row r="764">
      <c r="A764" s="24" t="str">
        <f>IFERROR(__xludf.DUMMYFUNCTION("""COMPUTED_VALUE"""),"Problematizando a Idade Média")</f>
        <v>Problematizando a Idade Média</v>
      </c>
      <c r="B764" s="24" t="str">
        <f>IFERROR(__xludf.DUMMYFUNCTION("""COMPUTED_VALUE"""),"Álvaro Mendes Ferreira (org)")</f>
        <v>Álvaro Mendes Ferreira (org)</v>
      </c>
      <c r="C764" s="24" t="str">
        <f>IFERROR(__xludf.DUMMYFUNCTION("""COMPUTED_VALUE"""),"Niterói, RJ")</f>
        <v>Niterói, RJ</v>
      </c>
      <c r="D764" s="24" t="str">
        <f>IFERROR(__xludf.DUMMYFUNCTION("""COMPUTED_VALUE"""),"PPGHISTÓRIA-UFF")</f>
        <v>PPGHISTÓRIA-UFF</v>
      </c>
      <c r="E764" s="25">
        <f>IFERROR(__xludf.DUMMYFUNCTION("""COMPUTED_VALUE"""),2014.0)</f>
        <v>2014</v>
      </c>
      <c r="F764" s="24" t="str">
        <f>IFERROR(__xludf.DUMMYFUNCTION("""COMPUTED_VALUE"""),"Civilização Medieval; Idade Média - História; Idade Média - Vida Social e costumes")</f>
        <v>Civilização Medieval; Idade Média - História; Idade Média - Vida Social e costumes</v>
      </c>
      <c r="G764" s="28" t="str">
        <f>IFERROR(__xludf.DUMMYFUNCTION("""COMPUTED_VALUE"""),"9788563735140")</f>
        <v>9788563735140</v>
      </c>
      <c r="H764" s="29" t="str">
        <f>IFERROR(__xludf.DUMMYFUNCTION("""COMPUTED_VALUE"""),"http://www.eduff.uff.br/ebooks/Translatio-Studii.pdf")</f>
        <v>http://www.eduff.uff.br/ebooks/Translatio-Studii.pdf</v>
      </c>
      <c r="I764" s="24" t="str">
        <f>IFERROR(__xludf.DUMMYFUNCTION("""COMPUTED_VALUE"""),"Ciências Humanas")</f>
        <v>Ciências Humanas</v>
      </c>
    </row>
    <row r="765">
      <c r="A765" s="24" t="str">
        <f>IFERROR(__xludf.DUMMYFUNCTION("""COMPUTED_VALUE"""),"Processos Básicos e Avaliação Psicológica: Perspectivas, Contextos e Aplicações")</f>
        <v>Processos Básicos e Avaliação Psicológica: Perspectivas, Contextos e Aplicações</v>
      </c>
      <c r="B765" s="24" t="str">
        <f>IFERROR(__xludf.DUMMYFUNCTION("""COMPUTED_VALUE"""),"Nelson Torro Alves, Carme Amori Gaudenco. ")</f>
        <v>Nelson Torro Alves, Carme Amori Gaudenco. </v>
      </c>
      <c r="C765" s="24" t="str">
        <f>IFERROR(__xludf.DUMMYFUNCTION("""COMPUTED_VALUE"""),"João Pessoa")</f>
        <v>João Pessoa</v>
      </c>
      <c r="D765" s="24" t="str">
        <f>IFERROR(__xludf.DUMMYFUNCTION("""COMPUTED_VALUE"""),"Editora da UFPB")</f>
        <v>Editora da UFPB</v>
      </c>
      <c r="E765" s="25">
        <f>IFERROR(__xludf.DUMMYFUNCTION("""COMPUTED_VALUE"""),2017.0)</f>
        <v>2017</v>
      </c>
      <c r="F765" s="24" t="str">
        <f>IFERROR(__xludf.DUMMYFUNCTION("""COMPUTED_VALUE"""),"Psicologia; Avaliação psicológica; Ritmos de cognição e memória; Distúrbios psiquiátricos")</f>
        <v>Psicologia; Avaliação psicológica; Ritmos de cognição e memória; Distúrbios psiquiátricos</v>
      </c>
      <c r="G765" s="28" t="str">
        <f>IFERROR(__xludf.DUMMYFUNCTION("""COMPUTED_VALUE"""),"9788523711931")</f>
        <v>9788523711931</v>
      </c>
      <c r="H765" s="29" t="str">
        <f>IFERROR(__xludf.DUMMYFUNCTION("""COMPUTED_VALUE"""),"http://www.editora.ufpb.br/sistema/press5/index.php/UFPB/catalog/book/108")</f>
        <v>http://www.editora.ufpb.br/sistema/press5/index.php/UFPB/catalog/book/108</v>
      </c>
      <c r="I765" s="24" t="str">
        <f>IFERROR(__xludf.DUMMYFUNCTION("""COMPUTED_VALUE"""),"Ciências Humanas")</f>
        <v>Ciências Humanas</v>
      </c>
    </row>
    <row r="766">
      <c r="A766" s="24" t="str">
        <f>IFERROR(__xludf.DUMMYFUNCTION("""COMPUTED_VALUE"""),"Professor, ensino médio e juventude: entre a didática relacional e a construção de sentidos")</f>
        <v>Professor, ensino médio e juventude: entre a didática relacional e a construção de sentidos</v>
      </c>
      <c r="B766" s="24" t="str">
        <f>IFERROR(__xludf.DUMMYFUNCTION("""COMPUTED_VALUE"""),"Silvana Soares de Araujo Mesquita")</f>
        <v>Silvana Soares de Araujo Mesquita</v>
      </c>
      <c r="C766" s="24" t="str">
        <f>IFERROR(__xludf.DUMMYFUNCTION("""COMPUTED_VALUE"""),"Rio de Janeiro")</f>
        <v>Rio de Janeiro</v>
      </c>
      <c r="D766" s="24" t="str">
        <f>IFERROR(__xludf.DUMMYFUNCTION("""COMPUTED_VALUE"""),"Editora PUC Rio")</f>
        <v>Editora PUC Rio</v>
      </c>
      <c r="E766" s="25">
        <f>IFERROR(__xludf.DUMMYFUNCTION("""COMPUTED_VALUE"""),2018.0)</f>
        <v>2018</v>
      </c>
      <c r="F766" s="24" t="str">
        <f>IFERROR(__xludf.DUMMYFUNCTION("""COMPUTED_VALUE"""),"Professor-ensino médio. Didática")</f>
        <v>Professor-ensino médio. Didática</v>
      </c>
      <c r="G766" s="28" t="str">
        <f>IFERROR(__xludf.DUMMYFUNCTION("""COMPUTED_VALUE"""),"9788567477299")</f>
        <v>9788567477299</v>
      </c>
      <c r="H766" s="29" t="str">
        <f>IFERROR(__xludf.DUMMYFUNCTION("""COMPUTED_VALUE"""),"http://www.editora.puc-rio.br/media/Professor,%20ensino%20m%C3%A9dio%20e%20juventude.pdf")</f>
        <v>http://www.editora.puc-rio.br/media/Professor,%20ensino%20m%C3%A9dio%20e%20juventude.pdf</v>
      </c>
      <c r="I766" s="24" t="str">
        <f>IFERROR(__xludf.DUMMYFUNCTION("""COMPUTED_VALUE"""),"Ciências Humanas")</f>
        <v>Ciências Humanas</v>
      </c>
    </row>
    <row r="767">
      <c r="A767" s="24" t="str">
        <f>IFERROR(__xludf.DUMMYFUNCTION("""COMPUTED_VALUE"""),"Professores formados na FFP/UERJ e inclusão: entre políticas, práticas e poéticas")</f>
        <v>Professores formados na FFP/UERJ e inclusão: entre políticas, práticas e poéticas</v>
      </c>
      <c r="B767" s="24" t="str">
        <f>IFERROR(__xludf.DUMMYFUNCTION("""COMPUTED_VALUE"""),"Anelice Ribetto (Organização)")</f>
        <v>Anelice Ribetto (Organização)</v>
      </c>
      <c r="C767" s="24" t="str">
        <f>IFERROR(__xludf.DUMMYFUNCTION("""COMPUTED_VALUE"""),"Rio de Janeiro")</f>
        <v>Rio de Janeiro</v>
      </c>
      <c r="D767" s="24" t="str">
        <f>IFERROR(__xludf.DUMMYFUNCTION("""COMPUTED_VALUE"""),"EdUERJ")</f>
        <v>EdUERJ</v>
      </c>
      <c r="E767" s="25">
        <f>IFERROR(__xludf.DUMMYFUNCTION("""COMPUTED_VALUE"""),2017.0)</f>
        <v>2017</v>
      </c>
      <c r="F767" s="24" t="str">
        <f>IFERROR(__xludf.DUMMYFUNCTION("""COMPUTED_VALUE"""),"Professores; Formação; Inclusão social")</f>
        <v>Professores; Formação; Inclusão social</v>
      </c>
      <c r="G767" s="28" t="str">
        <f>IFERROR(__xludf.DUMMYFUNCTION("""COMPUTED_VALUE"""),"9788575114599")</f>
        <v>9788575114599</v>
      </c>
      <c r="H767" s="29" t="str">
        <f>IFERROR(__xludf.DUMMYFUNCTION("""COMPUTED_VALUE"""),"https://www.eduerj.com/eng/?product=professores-formados-na-ffp-uerj-e-inclusao-entre-politicas-praticas-e-poeticas")</f>
        <v>https://www.eduerj.com/eng/?product=professores-formados-na-ffp-uerj-e-inclusao-entre-politicas-praticas-e-poeticas</v>
      </c>
      <c r="I767" s="24" t="str">
        <f>IFERROR(__xludf.DUMMYFUNCTION("""COMPUTED_VALUE"""),"Ciências Humanas")</f>
        <v>Ciências Humanas</v>
      </c>
    </row>
    <row r="768">
      <c r="A768" s="24" t="str">
        <f>IFERROR(__xludf.DUMMYFUNCTION("""COMPUTED_VALUE"""),"Professores formados na FFP/UERJ e inclusão: entre políticas, práticas e poéticas ")</f>
        <v>Professores formados na FFP/UERJ e inclusão: entre políticas, práticas e poéticas </v>
      </c>
      <c r="B768" s="24" t="str">
        <f>IFERROR(__xludf.DUMMYFUNCTION("""COMPUTED_VALUE"""),"organização Anelice Ribetto. ")</f>
        <v>organização Anelice Ribetto. </v>
      </c>
      <c r="C768" s="24" t="str">
        <f>IFERROR(__xludf.DUMMYFUNCTION("""COMPUTED_VALUE"""),"Rio de Janeiro, RJ")</f>
        <v>Rio de Janeiro, RJ</v>
      </c>
      <c r="D768" s="24" t="str">
        <f>IFERROR(__xludf.DUMMYFUNCTION("""COMPUTED_VALUE"""),"EdUERJ")</f>
        <v>EdUERJ</v>
      </c>
      <c r="E768" s="25">
        <f>IFERROR(__xludf.DUMMYFUNCTION("""COMPUTED_VALUE"""),2018.0)</f>
        <v>2018</v>
      </c>
      <c r="F768" s="24" t="str">
        <f>IFERROR(__xludf.DUMMYFUNCTION("""COMPUTED_VALUE"""),"Professores - Formação; Inclusão social")</f>
        <v>Professores - Formação; Inclusão social</v>
      </c>
      <c r="G768" s="28" t="str">
        <f>IFERROR(__xludf.DUMMYFUNCTION("""COMPUTED_VALUE"""),"9788575114599")</f>
        <v>9788575114599</v>
      </c>
      <c r="H768" s="29" t="str">
        <f>IFERROR(__xludf.DUMMYFUNCTION("""COMPUTED_VALUE"""),"http://books.scielo.org/id/dpg28/pdf/ribetto-9788575115022.pdf")</f>
        <v>http://books.scielo.org/id/dpg28/pdf/ribetto-9788575115022.pdf</v>
      </c>
      <c r="I768" s="24" t="str">
        <f>IFERROR(__xludf.DUMMYFUNCTION("""COMPUTED_VALUE"""),"Ciências Humanas")</f>
        <v>Ciências Humanas</v>
      </c>
    </row>
    <row r="769">
      <c r="A769" s="24" t="str">
        <f>IFERROR(__xludf.DUMMYFUNCTION("""COMPUTED_VALUE"""),"Professores índios e transformações socioculturais em um cenário multiétnico: a reserva indígena de Dourados (1960-2005) ")</f>
        <v>Professores índios e transformações socioculturais em um cenário multiétnico: a reserva indígena de Dourados (1960-2005) </v>
      </c>
      <c r="B769" s="24" t="str">
        <f>IFERROR(__xludf.DUMMYFUNCTION("""COMPUTED_VALUE"""),"Marta Coelho Castro Troquez ")</f>
        <v>Marta Coelho Castro Troquez </v>
      </c>
      <c r="C769" s="24" t="str">
        <f>IFERROR(__xludf.DUMMYFUNCTION("""COMPUTED_VALUE"""),"Dourados, MS")</f>
        <v>Dourados, MS</v>
      </c>
      <c r="D769" s="24" t="str">
        <f>IFERROR(__xludf.DUMMYFUNCTION("""COMPUTED_VALUE"""),"Ed. da UFGD")</f>
        <v>Ed. da UFGD</v>
      </c>
      <c r="E769" s="25">
        <f>IFERROR(__xludf.DUMMYFUNCTION("""COMPUTED_VALUE"""),2015.0)</f>
        <v>2015</v>
      </c>
      <c r="F769" s="24" t="str">
        <f>IFERROR(__xludf.DUMMYFUNCTION("""COMPUTED_VALUE"""),"Professor índio; Transformações socioculturais; Reserva indígena de Dourados")</f>
        <v>Professor índio; Transformações socioculturais; Reserva indígena de Dourados</v>
      </c>
      <c r="G769" s="28" t="str">
        <f>IFERROR(__xludf.DUMMYFUNCTION("""COMPUTED_VALUE"""),"9788581471280")</f>
        <v>9788581471280</v>
      </c>
      <c r="H769" s="29" t="str">
        <f>IFERROR(__xludf.DUMMYFUNCTION("""COMPUTED_VALUE"""),"http://omp.ufgd.edu.br/omp/index.php/livrosabertos/catalog/view/244/119/397-1")</f>
        <v>http://omp.ufgd.edu.br/omp/index.php/livrosabertos/catalog/view/244/119/397-1</v>
      </c>
      <c r="I769" s="24" t="str">
        <f>IFERROR(__xludf.DUMMYFUNCTION("""COMPUTED_VALUE"""),"Ciências Humanas")</f>
        <v>Ciências Humanas</v>
      </c>
    </row>
    <row r="770">
      <c r="A770" s="24" t="str">
        <f>IFERROR(__xludf.DUMMYFUNCTION("""COMPUTED_VALUE"""),"Programa de ações afirmativas da UFRGS: 2008-2012")</f>
        <v>Programa de ações afirmativas da UFRGS: 2008-2012</v>
      </c>
      <c r="B770" s="24" t="str">
        <f>IFERROR(__xludf.DUMMYFUNCTION("""COMPUTED_VALUE"""),"Universidade Federal do Rio Grande do Sul. Comissão de Acompanhamento de Alunos do Programa de Ações Afirmativa ")</f>
        <v>Universidade Federal do Rio Grande do Sul. Comissão de Acompanhamento de Alunos do Programa de Ações Afirmativa </v>
      </c>
      <c r="C770" s="24" t="str">
        <f>IFERROR(__xludf.DUMMYFUNCTION("""COMPUTED_VALUE"""),"Porto Alegre")</f>
        <v>Porto Alegre</v>
      </c>
      <c r="D770" s="24" t="str">
        <f>IFERROR(__xludf.DUMMYFUNCTION("""COMPUTED_VALUE"""),"UFRGS")</f>
        <v>UFRGS</v>
      </c>
      <c r="E770" s="25">
        <f>IFERROR(__xludf.DUMMYFUNCTION("""COMPUTED_VALUE"""),2013.0)</f>
        <v>2013</v>
      </c>
      <c r="F770" s="24" t="str">
        <f>IFERROR(__xludf.DUMMYFUNCTION("""COMPUTED_VALUE"""),"Ações afirmativas; Brasil; Ensino superior; Inclusão social; Política educacional; Políticas públicas; Universidade pública")</f>
        <v>Ações afirmativas; Brasil; Ensino superior; Inclusão social; Política educacional; Políticas públicas; Universidade pública</v>
      </c>
      <c r="G770" s="26"/>
      <c r="H770" s="29" t="str">
        <f>IFERROR(__xludf.DUMMYFUNCTION("""COMPUTED_VALUE"""),"http://hdl.handle.net/10183/199088")</f>
        <v>http://hdl.handle.net/10183/199088</v>
      </c>
      <c r="I770" s="24" t="str">
        <f>IFERROR(__xludf.DUMMYFUNCTION("""COMPUTED_VALUE"""),"Ciências Humanas")</f>
        <v>Ciências Humanas</v>
      </c>
    </row>
    <row r="771">
      <c r="A771" s="24" t="str">
        <f>IFERROR(__xludf.DUMMYFUNCTION("""COMPUTED_VALUE"""),"Projetos de educação sexual para escolas e centros educativos")</f>
        <v>Projetos de educação sexual para escolas e centros educativos</v>
      </c>
      <c r="B771" s="24" t="str">
        <f>IFERROR(__xludf.DUMMYFUNCTION("""COMPUTED_VALUE"""),"Lilia Maria de Azevedo Moreira, Marise Souza Barbosa (org.)")</f>
        <v>Lilia Maria de Azevedo Moreira, Marise Souza Barbosa (org.)</v>
      </c>
      <c r="C771" s="24" t="str">
        <f>IFERROR(__xludf.DUMMYFUNCTION("""COMPUTED_VALUE"""),"Salvador")</f>
        <v>Salvador</v>
      </c>
      <c r="D771" s="24" t="str">
        <f>IFERROR(__xludf.DUMMYFUNCTION("""COMPUTED_VALUE"""),"EDUFBA")</f>
        <v>EDUFBA</v>
      </c>
      <c r="E771" s="25">
        <f>IFERROR(__xludf.DUMMYFUNCTION("""COMPUTED_VALUE"""),2014.0)</f>
        <v>2014</v>
      </c>
      <c r="F771" s="24" t="str">
        <f>IFERROR(__xludf.DUMMYFUNCTION("""COMPUTED_VALUE"""),"Educação sexual; Sexo; Educação; Juventude")</f>
        <v>Educação sexual; Sexo; Educação; Juventude</v>
      </c>
      <c r="G771" s="28" t="str">
        <f>IFERROR(__xludf.DUMMYFUNCTION("""COMPUTED_VALUE"""),"9788523213305")</f>
        <v>9788523213305</v>
      </c>
      <c r="H771" s="29" t="str">
        <f>IFERROR(__xludf.DUMMYFUNCTION("""COMPUTED_VALUE"""),"http://repositorio.ufba.br/ri/handle/ri/17273")</f>
        <v>http://repositorio.ufba.br/ri/handle/ri/17273</v>
      </c>
      <c r="I771" s="24" t="str">
        <f>IFERROR(__xludf.DUMMYFUNCTION("""COMPUTED_VALUE"""),"Ciências Humanas")</f>
        <v>Ciências Humanas</v>
      </c>
    </row>
    <row r="772">
      <c r="A772" s="24" t="str">
        <f>IFERROR(__xludf.DUMMYFUNCTION("""COMPUTED_VALUE"""),"Propostas pedagógicas, materiais educativos e novos desafios para a formação de professores indígenas")</f>
        <v>Propostas pedagógicas, materiais educativos e novos desafios para a formação de professores indígenas</v>
      </c>
      <c r="B772" s="24" t="str">
        <f>IFERROR(__xludf.DUMMYFUNCTION("""COMPUTED_VALUE"""),"Jovina Mafra dos Santos; Maxim Repetto (org.)")</f>
        <v>Jovina Mafra dos Santos; Maxim Repetto (org.)</v>
      </c>
      <c r="C772" s="24" t="str">
        <f>IFERROR(__xludf.DUMMYFUNCTION("""COMPUTED_VALUE"""),"Boa Vista ")</f>
        <v>Boa Vista </v>
      </c>
      <c r="D772" s="24" t="str">
        <f>IFERROR(__xludf.DUMMYFUNCTION("""COMPUTED_VALUE"""),"UFRR")</f>
        <v>UFRR</v>
      </c>
      <c r="E772" s="25">
        <f>IFERROR(__xludf.DUMMYFUNCTION("""COMPUTED_VALUE"""),2019.0)</f>
        <v>2019</v>
      </c>
      <c r="F772" s="24" t="str">
        <f>IFERROR(__xludf.DUMMYFUNCTION("""COMPUTED_VALUE"""),"Educação indígena; Formação de professores; Recursos didáticos")</f>
        <v>Educação indígena; Formação de professores; Recursos didáticos</v>
      </c>
      <c r="G772" s="28" t="str">
        <f>IFERROR(__xludf.DUMMYFUNCTION("""COMPUTED_VALUE"""),"9788582882375")</f>
        <v>9788582882375</v>
      </c>
      <c r="H772" s="29" t="str">
        <f>IFERROR(__xludf.DUMMYFUNCTION("""COMPUTED_VALUE"""),"http://ufrr.br/editora/index.php/editais?download=423")</f>
        <v>http://ufrr.br/editora/index.php/editais?download=423</v>
      </c>
      <c r="I772" s="24" t="str">
        <f>IFERROR(__xludf.DUMMYFUNCTION("""COMPUTED_VALUE"""),"Ciências Humanas")</f>
        <v>Ciências Humanas</v>
      </c>
    </row>
    <row r="773">
      <c r="A773" s="24" t="str">
        <f>IFERROR(__xludf.DUMMYFUNCTION("""COMPUTED_VALUE"""),"Protestantismo à moda Terena")</f>
        <v>Protestantismo à moda Terena</v>
      </c>
      <c r="B773" s="24" t="str">
        <f>IFERROR(__xludf.DUMMYFUNCTION("""COMPUTED_VALUE"""),"Graziele Acçolini")</f>
        <v>Graziele Acçolini</v>
      </c>
      <c r="C773" s="24" t="str">
        <f>IFERROR(__xludf.DUMMYFUNCTION("""COMPUTED_VALUE"""),"Dourados, MS")</f>
        <v>Dourados, MS</v>
      </c>
      <c r="D773" s="24" t="str">
        <f>IFERROR(__xludf.DUMMYFUNCTION("""COMPUTED_VALUE"""),"Ed. da UFGD")</f>
        <v>Ed. da UFGD</v>
      </c>
      <c r="E773" s="25">
        <f>IFERROR(__xludf.DUMMYFUNCTION("""COMPUTED_VALUE"""),2015.0)</f>
        <v>2015</v>
      </c>
      <c r="F773" s="24" t="str">
        <f>IFERROR(__xludf.DUMMYFUNCTION("""COMPUTED_VALUE"""),"Contatos interétnicos; Terena; Identidade étnica; Protestantismo; Sistema xamânico")</f>
        <v>Contatos interétnicos; Terena; Identidade étnica; Protestantismo; Sistema xamânico</v>
      </c>
      <c r="G773" s="28" t="str">
        <f>IFERROR(__xludf.DUMMYFUNCTION("""COMPUTED_VALUE"""),"9788581471136")</f>
        <v>9788581471136</v>
      </c>
      <c r="H773" s="29" t="str">
        <f>IFERROR(__xludf.DUMMYFUNCTION("""COMPUTED_VALUE"""),"http://omp.ufgd.edu.br/omp/index.php/livrosabertos/catalog/view/174/172/452-1")</f>
        <v>http://omp.ufgd.edu.br/omp/index.php/livrosabertos/catalog/view/174/172/452-1</v>
      </c>
      <c r="I773" s="24" t="str">
        <f>IFERROR(__xludf.DUMMYFUNCTION("""COMPUTED_VALUE"""),"Ciências Humanas")</f>
        <v>Ciências Humanas</v>
      </c>
    </row>
    <row r="774">
      <c r="A774" s="24" t="str">
        <f>IFERROR(__xludf.DUMMYFUNCTION("""COMPUTED_VALUE"""),"Psicologia Clínica e Saúde Mental: Articulando Teoria e Prática")</f>
        <v>Psicologia Clínica e Saúde Mental: Articulando Teoria e Prática</v>
      </c>
      <c r="B774" s="24" t="str">
        <f>IFERROR(__xludf.DUMMYFUNCTION("""COMPUTED_VALUE"""),"Nilse Chiapetiti, Melyssa Calvacanti Galdino. ")</f>
        <v>Nilse Chiapetiti, Melyssa Calvacanti Galdino. </v>
      </c>
      <c r="C774" s="24" t="str">
        <f>IFERROR(__xludf.DUMMYFUNCTION("""COMPUTED_VALUE"""),"João Pessoa")</f>
        <v>João Pessoa</v>
      </c>
      <c r="D774" s="24" t="str">
        <f>IFERROR(__xludf.DUMMYFUNCTION("""COMPUTED_VALUE"""),"Editora da UFPB")</f>
        <v>Editora da UFPB</v>
      </c>
      <c r="E774" s="25">
        <f>IFERROR(__xludf.DUMMYFUNCTION("""COMPUTED_VALUE"""),2017.0)</f>
        <v>2017</v>
      </c>
      <c r="F774" s="24" t="str">
        <f>IFERROR(__xludf.DUMMYFUNCTION("""COMPUTED_VALUE"""),"Psicologia clínica; Saúde mental; Terapia cognitivo-comportamental; Terapia analítico-comportamental")</f>
        <v>Psicologia clínica; Saúde mental; Terapia cognitivo-comportamental; Terapia analítico-comportamental</v>
      </c>
      <c r="G774" s="28" t="str">
        <f>IFERROR(__xludf.DUMMYFUNCTION("""COMPUTED_VALUE"""),"9788523712761")</f>
        <v>9788523712761</v>
      </c>
      <c r="H774" s="29" t="str">
        <f>IFERROR(__xludf.DUMMYFUNCTION("""COMPUTED_VALUE"""),"http://www.editora.ufpb.br/sistema/press5/index.php/UFPB/catalog/book/107")</f>
        <v>http://www.editora.ufpb.br/sistema/press5/index.php/UFPB/catalog/book/107</v>
      </c>
      <c r="I774" s="24" t="str">
        <f>IFERROR(__xludf.DUMMYFUNCTION("""COMPUTED_VALUE"""),"Ciências Humanas")</f>
        <v>Ciências Humanas</v>
      </c>
    </row>
    <row r="775">
      <c r="A775" s="24" t="str">
        <f>IFERROR(__xludf.DUMMYFUNCTION("""COMPUTED_VALUE"""),"Psicologia da saúde: teoria e pesquisa")</f>
        <v>Psicologia da saúde: teoria e pesquisa</v>
      </c>
      <c r="B775" s="24" t="str">
        <f>IFERROR(__xludf.DUMMYFUNCTION("""COMPUTED_VALUE"""),"Mirlene Maria Matias Siqueira; Saul Neves de Jesus; Vera Barros de Oliveira (org.)")</f>
        <v>Mirlene Maria Matias Siqueira; Saul Neves de Jesus; Vera Barros de Oliveira (org.)</v>
      </c>
      <c r="C775" s="24" t="str">
        <f>IFERROR(__xludf.DUMMYFUNCTION("""COMPUTED_VALUE"""),"São Bernardo do Campo, SP")</f>
        <v>São Bernardo do Campo, SP</v>
      </c>
      <c r="D775" s="24" t="str">
        <f>IFERROR(__xludf.DUMMYFUNCTION("""COMPUTED_VALUE"""),"UMESP")</f>
        <v>UMESP</v>
      </c>
      <c r="E775" s="25">
        <f>IFERROR(__xludf.DUMMYFUNCTION("""COMPUTED_VALUE"""),2008.0)</f>
        <v>2008</v>
      </c>
      <c r="F775" s="24" t="str">
        <f>IFERROR(__xludf.DUMMYFUNCTION("""COMPUTED_VALUE"""),"Psicologia da saúde. Promoção da saúde. Psicologia")</f>
        <v>Psicologia da saúde. Promoção da saúde. Psicologia</v>
      </c>
      <c r="G775" s="28" t="str">
        <f>IFERROR(__xludf.DUMMYFUNCTION("""COMPUTED_VALUE"""),"9788587589989")</f>
        <v>9788587589989</v>
      </c>
      <c r="H775" s="29" t="str">
        <f>IFERROR(__xludf.DUMMYFUNCTION("""COMPUTED_VALUE"""),"http://editora.metodista.br/livros-gratis/psicologiadasaude.pdf/at_download/file")</f>
        <v>http://editora.metodista.br/livros-gratis/psicologiadasaude.pdf/at_download/file</v>
      </c>
      <c r="I775" s="24" t="str">
        <f>IFERROR(__xludf.DUMMYFUNCTION("""COMPUTED_VALUE"""),"Ciências Humanas")</f>
        <v>Ciências Humanas</v>
      </c>
    </row>
    <row r="776">
      <c r="A776" s="24" t="str">
        <f>IFERROR(__xludf.DUMMYFUNCTION("""COMPUTED_VALUE"""),"Psicologia e as minorias")</f>
        <v>Psicologia e as minorias</v>
      </c>
      <c r="B776" s="24" t="str">
        <f>IFERROR(__xludf.DUMMYFUNCTION("""COMPUTED_VALUE"""),"Scheila Beatriz Sehnem")</f>
        <v>Scheila Beatriz Sehnem</v>
      </c>
      <c r="C776" s="24" t="str">
        <f>IFERROR(__xludf.DUMMYFUNCTION("""COMPUTED_VALUE"""),"Joaçaba")</f>
        <v>Joaçaba</v>
      </c>
      <c r="D776" s="24" t="str">
        <f>IFERROR(__xludf.DUMMYFUNCTION("""COMPUTED_VALUE"""),"Unoesc")</f>
        <v>Unoesc</v>
      </c>
      <c r="E776" s="25">
        <f>IFERROR(__xludf.DUMMYFUNCTION("""COMPUTED_VALUE"""),2017.0)</f>
        <v>2017</v>
      </c>
      <c r="F776" s="24" t="str">
        <f>IFERROR(__xludf.DUMMYFUNCTION("""COMPUTED_VALUE"""),"Psicologia, Minorias")</f>
        <v>Psicologia, Minorias</v>
      </c>
      <c r="G776" s="28" t="str">
        <f>IFERROR(__xludf.DUMMYFUNCTION("""COMPUTED_VALUE"""),"9788584221561")</f>
        <v>9788584221561</v>
      </c>
      <c r="H776" s="29" t="str">
        <f>IFERROR(__xludf.DUMMYFUNCTION("""COMPUTED_VALUE"""),"https://www.unoesc.edu.br/images/uploads/editora/Psicologia_e_as_minorias.pdf")</f>
        <v>https://www.unoesc.edu.br/images/uploads/editora/Psicologia_e_as_minorias.pdf</v>
      </c>
      <c r="I776" s="24" t="str">
        <f>IFERROR(__xludf.DUMMYFUNCTION("""COMPUTED_VALUE"""),"Ciências Humanas")</f>
        <v>Ciências Humanas</v>
      </c>
    </row>
    <row r="777">
      <c r="A777" s="24" t="str">
        <f>IFERROR(__xludf.DUMMYFUNCTION("""COMPUTED_VALUE"""),"Psicologia na UERJ – 45 anos de histórias")</f>
        <v>Psicologia na UERJ – 45 anos de histórias</v>
      </c>
      <c r="B777" s="24" t="str">
        <f>IFERROR(__xludf.DUMMYFUNCTION("""COMPUTED_VALUE"""),"Ana Maria Jacó-Vilela (organização)")</f>
        <v>Ana Maria Jacó-Vilela (organização)</v>
      </c>
      <c r="C777" s="24" t="str">
        <f>IFERROR(__xludf.DUMMYFUNCTION("""COMPUTED_VALUE"""),"Rio de Janeiro")</f>
        <v>Rio de Janeiro</v>
      </c>
      <c r="D777" s="24" t="str">
        <f>IFERROR(__xludf.DUMMYFUNCTION("""COMPUTED_VALUE"""),"EdUERJ")</f>
        <v>EdUERJ</v>
      </c>
      <c r="E777" s="25">
        <f>IFERROR(__xludf.DUMMYFUNCTION("""COMPUTED_VALUE"""),2019.0)</f>
        <v>2019</v>
      </c>
      <c r="F777" s="24" t="str">
        <f>IFERROR(__xludf.DUMMYFUNCTION("""COMPUTED_VALUE"""),"Universidade do Estado do Rio de Janeiro; Psicologia; Estudo e ensino")</f>
        <v>Universidade do Estado do Rio de Janeiro; Psicologia; Estudo e ensino</v>
      </c>
      <c r="G777" s="28" t="str">
        <f>IFERROR(__xludf.DUMMYFUNCTION("""COMPUTED_VALUE"""),"9786580709007")</f>
        <v>9786580709007</v>
      </c>
      <c r="H777" s="29" t="str">
        <f>IFERROR(__xludf.DUMMYFUNCTION("""COMPUTED_VALUE"""),"https://www.eduerj.com/eng/?product=psicologia-na-uerj-45-anos-de-historias")</f>
        <v>https://www.eduerj.com/eng/?product=psicologia-na-uerj-45-anos-de-historias</v>
      </c>
      <c r="I777" s="24" t="str">
        <f>IFERROR(__xludf.DUMMYFUNCTION("""COMPUTED_VALUE"""),"Ciências Humanas")</f>
        <v>Ciências Humanas</v>
      </c>
    </row>
    <row r="778">
      <c r="A778" s="24" t="str">
        <f>IFERROR(__xludf.DUMMYFUNCTION("""COMPUTED_VALUE"""),"Quando o MST é notícia")</f>
        <v>Quando o MST é notícia</v>
      </c>
      <c r="B778" s="24" t="str">
        <f>IFERROR(__xludf.DUMMYFUNCTION("""COMPUTED_VALUE"""),"Isabela de Fátima Schwengber")</f>
        <v>Isabela de Fátima Schwengber</v>
      </c>
      <c r="C778" s="24" t="str">
        <f>IFERROR(__xludf.DUMMYFUNCTION("""COMPUTED_VALUE"""),"Dourados, MS")</f>
        <v>Dourados, MS</v>
      </c>
      <c r="D778" s="24" t="str">
        <f>IFERROR(__xludf.DUMMYFUNCTION("""COMPUTED_VALUE"""),"Editora da UFGD")</f>
        <v>Editora da UFGD</v>
      </c>
      <c r="E778" s="25">
        <f>IFERROR(__xludf.DUMMYFUNCTION("""COMPUTED_VALUE"""),2008.0)</f>
        <v>2008</v>
      </c>
      <c r="F778" s="24" t="str">
        <f>IFERROR(__xludf.DUMMYFUNCTION("""COMPUTED_VALUE"""),"Movimento dos Trabalhadores Rurais Sem-Terra; Reforma agrária; Imprensa. – Mato Grosso do Sul; Representações sociais")</f>
        <v>Movimento dos Trabalhadores Rurais Sem-Terra; Reforma agrária; Imprensa. – Mato Grosso do Sul; Representações sociais</v>
      </c>
      <c r="G778" s="28" t="str">
        <f>IFERROR(__xludf.DUMMYFUNCTION("""COMPUTED_VALUE"""),"9788561228262")</f>
        <v>9788561228262</v>
      </c>
      <c r="H778" s="29" t="str">
        <f>IFERROR(__xludf.DUMMYFUNCTION("""COMPUTED_VALUE"""),"http://omp.ufgd.edu.br/omp/index.php/livrosabertos/catalog/view/176/170/450-1")</f>
        <v>http://omp.ufgd.edu.br/omp/index.php/livrosabertos/catalog/view/176/170/450-1</v>
      </c>
      <c r="I778" s="24" t="str">
        <f>IFERROR(__xludf.DUMMYFUNCTION("""COMPUTED_VALUE"""),"Ciências Humanas")</f>
        <v>Ciências Humanas</v>
      </c>
    </row>
    <row r="779">
      <c r="A779" s="24" t="str">
        <f>IFERROR(__xludf.DUMMYFUNCTION("""COMPUTED_VALUE"""),"Questões de religiões: teorias e metodologias")</f>
        <v>Questões de religiões: teorias e metodologias</v>
      </c>
      <c r="B779" s="24" t="str">
        <f>IFERROR(__xludf.DUMMYFUNCTION("""COMPUTED_VALUE"""),"organizador: Jérri Roberto Marin ")</f>
        <v>organizador: Jérri Roberto Marin </v>
      </c>
      <c r="C779" s="24" t="str">
        <f>IFERROR(__xludf.DUMMYFUNCTION("""COMPUTED_VALUE"""),"Dourados, MS")</f>
        <v>Dourados, MS</v>
      </c>
      <c r="D779" s="24" t="str">
        <f>IFERROR(__xludf.DUMMYFUNCTION("""COMPUTED_VALUE"""),"Ed. da UFGD")</f>
        <v>Ed. da UFGD</v>
      </c>
      <c r="E779" s="25">
        <f>IFERROR(__xludf.DUMMYFUNCTION("""COMPUTED_VALUE"""),2013.0)</f>
        <v>2013</v>
      </c>
      <c r="F779" s="24" t="str">
        <f>IFERROR(__xludf.DUMMYFUNCTION("""COMPUTED_VALUE"""),"Religião; Igreja Católica; Religiosidade")</f>
        <v>Religião; Igreja Católica; Religiosidade</v>
      </c>
      <c r="G779" s="28" t="str">
        <f>IFERROR(__xludf.DUMMYFUNCTION("""COMPUTED_VALUE"""),"9788581470740")</f>
        <v>9788581470740</v>
      </c>
      <c r="H779" s="29" t="str">
        <f>IFERROR(__xludf.DUMMYFUNCTION("""COMPUTED_VALUE"""),"http://omp.ufgd.edu.br/omp/index.php/livrosabertos/catalog/view/229/111/388-1")</f>
        <v>http://omp.ufgd.edu.br/omp/index.php/livrosabertos/catalog/view/229/111/388-1</v>
      </c>
      <c r="I779" s="24" t="str">
        <f>IFERROR(__xludf.DUMMYFUNCTION("""COMPUTED_VALUE"""),"Ciências Humanas")</f>
        <v>Ciências Humanas</v>
      </c>
    </row>
    <row r="780">
      <c r="A780" s="24" t="str">
        <f>IFERROR(__xludf.DUMMYFUNCTION("""COMPUTED_VALUE"""),"Raul Amaro Nin Ferreira: relatório")</f>
        <v>Raul Amaro Nin Ferreira: relatório</v>
      </c>
      <c r="B780" s="24" t="str">
        <f>IFERROR(__xludf.DUMMYFUNCTION("""COMPUTED_VALUE"""),"Felipe Carvalho Nin Ferreira; Raul Carvalho Nin Ferreira; Marcelo Zelic")</f>
        <v>Felipe Carvalho Nin Ferreira; Raul Carvalho Nin Ferreira; Marcelo Zelic</v>
      </c>
      <c r="C780" s="24" t="str">
        <f>IFERROR(__xludf.DUMMYFUNCTION("""COMPUTED_VALUE"""),"Rio de Janeiro")</f>
        <v>Rio de Janeiro</v>
      </c>
      <c r="D780" s="24" t="str">
        <f>IFERROR(__xludf.DUMMYFUNCTION("""COMPUTED_VALUE"""),"Editora PUC Rio")</f>
        <v>Editora PUC Rio</v>
      </c>
      <c r="E780" s="25">
        <f>IFERROR(__xludf.DUMMYFUNCTION("""COMPUTED_VALUE"""),2014.0)</f>
        <v>2014</v>
      </c>
      <c r="F780" s="24" t="str">
        <f>IFERROR(__xludf.DUMMYFUNCTION("""COMPUTED_VALUE"""),"Ditadura – Brasil – História – Séc. XX. Tortura – Brasil – História – Séc. XX. Brasil – Política e governo – 1964-1985. Comissão Nacional da Verdade")</f>
        <v>Ditadura – Brasil – História – Séc. XX. Tortura – Brasil – História – Séc. XX. Brasil – Política e governo – 1964-1985. Comissão Nacional da Verdade</v>
      </c>
      <c r="G780" s="28" t="str">
        <f>IFERROR(__xludf.DUMMYFUNCTION("""COMPUTED_VALUE"""),"9788580061550")</f>
        <v>9788580061550</v>
      </c>
      <c r="H780" s="29" t="str">
        <f>IFERROR(__xludf.DUMMYFUNCTION("""COMPUTED_VALUE"""),"http://www.editora.puc-rio.br/media/ebook_raul_amaro.pdf")</f>
        <v>http://www.editora.puc-rio.br/media/ebook_raul_amaro.pdf</v>
      </c>
      <c r="I780" s="24" t="str">
        <f>IFERROR(__xludf.DUMMYFUNCTION("""COMPUTED_VALUE"""),"Ciências Humanas")</f>
        <v>Ciências Humanas</v>
      </c>
    </row>
    <row r="781">
      <c r="A781" s="24" t="str">
        <f>IFERROR(__xludf.DUMMYFUNCTION("""COMPUTED_VALUE"""),"Rede federal de educação profissional, científica e tecnológica e seu autorretrato:: a reflexão de seus próprios pesquisadores")</f>
        <v>Rede federal de educação profissional, científica e tecnológica e seu autorretrato:: a reflexão de seus próprios pesquisadores</v>
      </c>
      <c r="B781" s="24" t="str">
        <f>IFERROR(__xludf.DUMMYFUNCTION("""COMPUTED_VALUE"""),"organizadores, Alexandre Maia do Bonfim e Eline Deccache-Maia")</f>
        <v>organizadores, Alexandre Maia do Bonfim e Eline Deccache-Maia</v>
      </c>
      <c r="C781" s="24" t="str">
        <f>IFERROR(__xludf.DUMMYFUNCTION("""COMPUTED_VALUE"""),"João Pessoa")</f>
        <v>João Pessoa</v>
      </c>
      <c r="D781" s="24" t="str">
        <f>IFERROR(__xludf.DUMMYFUNCTION("""COMPUTED_VALUE"""),"Editora IFPB")</f>
        <v>Editora IFPB</v>
      </c>
      <c r="E781" s="25">
        <f>IFERROR(__xludf.DUMMYFUNCTION("""COMPUTED_VALUE"""),2019.0)</f>
        <v>2019</v>
      </c>
      <c r="F781" s="24" t="str">
        <f>IFERROR(__xludf.DUMMYFUNCTION("""COMPUTED_VALUE"""),"Educação profissional, científica e tecnológica; Autorretrato; Memória; Estudo")</f>
        <v>Educação profissional, científica e tecnológica; Autorretrato; Memória; Estudo</v>
      </c>
      <c r="G781" s="28" t="str">
        <f>IFERROR(__xludf.DUMMYFUNCTION("""COMPUTED_VALUE"""),"9788554490188")</f>
        <v>9788554490188</v>
      </c>
      <c r="H781" s="29" t="str">
        <f>IFERROR(__xludf.DUMMYFUNCTION("""COMPUTED_VALUE"""),"http://editora.ifpb.edu.br/index.php/ifpb/catalog/book/234")</f>
        <v>http://editora.ifpb.edu.br/index.php/ifpb/catalog/book/234</v>
      </c>
      <c r="I781" s="24" t="str">
        <f>IFERROR(__xludf.DUMMYFUNCTION("""COMPUTED_VALUE"""),"Ciências Humanas")</f>
        <v>Ciências Humanas</v>
      </c>
    </row>
    <row r="782">
      <c r="A782" s="24" t="str">
        <f>IFERROR(__xludf.DUMMYFUNCTION("""COMPUTED_VALUE"""),"REDE RIZOMA: MOVIMENTO DE EXTENSÃO NO IFPB")</f>
        <v>REDE RIZOMA: MOVIMENTO DE EXTENSÃO NO IFPB</v>
      </c>
      <c r="B782" s="24" t="str">
        <f>IFERROR(__xludf.DUMMYFUNCTION("""COMPUTED_VALUE"""),"Beatriz Alves de Sousa e Vania Maria Medeiros (org.)")</f>
        <v>Beatriz Alves de Sousa e Vania Maria Medeiros (org.)</v>
      </c>
      <c r="C782" s="24" t="str">
        <f>IFERROR(__xludf.DUMMYFUNCTION("""COMPUTED_VALUE"""),"João Pessoa")</f>
        <v>João Pessoa</v>
      </c>
      <c r="D782" s="24" t="str">
        <f>IFERROR(__xludf.DUMMYFUNCTION("""COMPUTED_VALUE"""),"Editora IFPB")</f>
        <v>Editora IFPB</v>
      </c>
      <c r="E782" s="25">
        <f>IFERROR(__xludf.DUMMYFUNCTION("""COMPUTED_VALUE"""),2016.0)</f>
        <v>2016</v>
      </c>
      <c r="F782" s="24" t="str">
        <f>IFERROR(__xludf.DUMMYFUNCTION("""COMPUTED_VALUE"""),"Extensão; Atividades de extensão; Núcleos da rede rizoma; Tecnologia em extensão")</f>
        <v>Extensão; Atividades de extensão; Núcleos da rede rizoma; Tecnologia em extensão</v>
      </c>
      <c r="G782" s="28" t="str">
        <f>IFERROR(__xludf.DUMMYFUNCTION("""COMPUTED_VALUE"""),"9788563406835")</f>
        <v>9788563406835</v>
      </c>
      <c r="H782" s="29" t="str">
        <f>IFERROR(__xludf.DUMMYFUNCTION("""COMPUTED_VALUE"""),"http://editora.ifpb.edu.br/index.php/ifpb/catalog/book/82")</f>
        <v>http://editora.ifpb.edu.br/index.php/ifpb/catalog/book/82</v>
      </c>
      <c r="I782" s="24" t="str">
        <f>IFERROR(__xludf.DUMMYFUNCTION("""COMPUTED_VALUE"""),"Ciências Humanas")</f>
        <v>Ciências Humanas</v>
      </c>
    </row>
    <row r="783">
      <c r="A783" s="24" t="str">
        <f>IFERROR(__xludf.DUMMYFUNCTION("""COMPUTED_VALUE"""),"Redes de colaboração para inovação: a experiência do Living Lab Habitat")</f>
        <v>Redes de colaboração para inovação: a experiência do Living Lab Habitat</v>
      </c>
      <c r="B783" s="24" t="str">
        <f>IFERROR(__xludf.DUMMYFUNCTION("""COMPUTED_VALUE"""),"Míriam de Magdala Pinto (org.)")</f>
        <v>Míriam de Magdala Pinto (org.)</v>
      </c>
      <c r="C783" s="24" t="str">
        <f>IFERROR(__xludf.DUMMYFUNCTION("""COMPUTED_VALUE"""),"Vitória")</f>
        <v>Vitória</v>
      </c>
      <c r="D783" s="24" t="str">
        <f>IFERROR(__xludf.DUMMYFUNCTION("""COMPUTED_VALUE"""),"EDUFES")</f>
        <v>EDUFES</v>
      </c>
      <c r="E783" s="25">
        <f>IFERROR(__xludf.DUMMYFUNCTION("""COMPUTED_VALUE"""),2014.0)</f>
        <v>2014</v>
      </c>
      <c r="F783" s="24" t="str">
        <f>IFERROR(__xludf.DUMMYFUNCTION("""COMPUTED_VALUE"""),"Inovações tecnológicas; Redes de colaboração; Inovação")</f>
        <v>Inovações tecnológicas; Redes de colaboração; Inovação</v>
      </c>
      <c r="G783" s="28" t="str">
        <f>IFERROR(__xludf.DUMMYFUNCTION("""COMPUTED_VALUE"""),"9788577722457")</f>
        <v>9788577722457</v>
      </c>
      <c r="H783" s="29" t="str">
        <f>IFERROR(__xludf.DUMMYFUNCTION("""COMPUTED_VALUE"""),"http://repositorio.ufes.br/handle/10/1896")</f>
        <v>http://repositorio.ufes.br/handle/10/1896</v>
      </c>
      <c r="I783" s="24" t="str">
        <f>IFERROR(__xludf.DUMMYFUNCTION("""COMPUTED_VALUE"""),"Ciências Humanas")</f>
        <v>Ciências Humanas</v>
      </c>
    </row>
    <row r="784">
      <c r="A784" s="24" t="str">
        <f>IFERROR(__xludf.DUMMYFUNCTION("""COMPUTED_VALUE"""),"Referenciais teóricos e metodológicos de investigação em educação e ciências sociais. ")</f>
        <v>Referenciais teóricos e metodológicos de investigação em educação e ciências sociais. </v>
      </c>
      <c r="B784" s="24" t="str">
        <f>IFERROR(__xludf.DUMMYFUNCTION("""COMPUTED_VALUE"""),"(org.) João Amado, Nilma Margarida de Castro Crusoé.")</f>
        <v>(org.) João Amado, Nilma Margarida de Castro Crusoé.</v>
      </c>
      <c r="C784" s="24" t="str">
        <f>IFERROR(__xludf.DUMMYFUNCTION("""COMPUTED_VALUE"""),"Vitória da Conquista, BA")</f>
        <v>Vitória da Conquista, BA</v>
      </c>
      <c r="D784" s="24" t="str">
        <f>IFERROR(__xludf.DUMMYFUNCTION("""COMPUTED_VALUE"""),"Edições UESB")</f>
        <v>Edições UESB</v>
      </c>
      <c r="E784" s="25">
        <f>IFERROR(__xludf.DUMMYFUNCTION("""COMPUTED_VALUE"""),2017.0)</f>
        <v>2017</v>
      </c>
      <c r="F784" s="24" t="str">
        <f>IFERROR(__xludf.DUMMYFUNCTION("""COMPUTED_VALUE"""),"Pesquisa educacional – Metodologia; Currículo – Teoria e prática; Educação –; Investigação qualitativa")</f>
        <v>Pesquisa educacional – Metodologia; Currículo – Teoria e prática; Educação –; Investigação qualitativa</v>
      </c>
      <c r="G784" s="28" t="str">
        <f>IFERROR(__xludf.DUMMYFUNCTION("""COMPUTED_VALUE"""),"9788579851278")</f>
        <v>9788579851278</v>
      </c>
      <c r="H784" s="29" t="str">
        <f>IFERROR(__xludf.DUMMYFUNCTION("""COMPUTED_VALUE"""),"http://www2.uesb.br/editora/wp-content/uploads/REFERENCIAIS-TE%C3%93RICOS.pdf")</f>
        <v>http://www2.uesb.br/editora/wp-content/uploads/REFERENCIAIS-TE%C3%93RICOS.pdf</v>
      </c>
      <c r="I784" s="24" t="str">
        <f>IFERROR(__xludf.DUMMYFUNCTION("""COMPUTED_VALUE"""),"Ciências Humanas")</f>
        <v>Ciências Humanas</v>
      </c>
    </row>
    <row r="785">
      <c r="A785" s="24" t="str">
        <f>IFERROR(__xludf.DUMMYFUNCTION("""COMPUTED_VALUE"""),"Reflexões e práticas na formação de educadores")</f>
        <v>Reflexões e práticas na formação de educadores</v>
      </c>
      <c r="B785" s="24" t="str">
        <f>IFERROR(__xludf.DUMMYFUNCTION("""COMPUTED_VALUE"""),"Cesar de David, Janete Webler Cancelier, organização. ")</f>
        <v>Cesar de David, Janete Webler Cancelier, organização. </v>
      </c>
      <c r="C785" s="24" t="str">
        <f>IFERROR(__xludf.DUMMYFUNCTION("""COMPUTED_VALUE"""),"Rio de Janeiro, RJ")</f>
        <v>Rio de Janeiro, RJ</v>
      </c>
      <c r="D785" s="24" t="str">
        <f>IFERROR(__xludf.DUMMYFUNCTION("""COMPUTED_VALUE"""),"EdUERJ")</f>
        <v>EdUERJ</v>
      </c>
      <c r="E785" s="25">
        <f>IFERROR(__xludf.DUMMYFUNCTION("""COMPUTED_VALUE"""),2018.0)</f>
        <v>2018</v>
      </c>
      <c r="F785" s="24" t="str">
        <f>IFERROR(__xludf.DUMMYFUNCTION("""COMPUTED_VALUE"""),"Professores - Formação; Educadores")</f>
        <v>Professores - Formação; Educadores</v>
      </c>
      <c r="G785" s="28" t="str">
        <f>IFERROR(__xludf.DUMMYFUNCTION("""COMPUTED_VALUE"""),"9788575114759")</f>
        <v>9788575114759</v>
      </c>
      <c r="H785" s="29" t="str">
        <f>IFERROR(__xludf.DUMMYFUNCTION("""COMPUTED_VALUE"""),"http://books.scielo.org/id/spd6r/pdf/david-9788575114759.pdf")</f>
        <v>http://books.scielo.org/id/spd6r/pdf/david-9788575114759.pdf</v>
      </c>
      <c r="I785" s="24" t="str">
        <f>IFERROR(__xludf.DUMMYFUNCTION("""COMPUTED_VALUE"""),"Ciências Humanas")</f>
        <v>Ciências Humanas</v>
      </c>
    </row>
    <row r="786">
      <c r="A786" s="24" t="str">
        <f>IFERROR(__xludf.DUMMYFUNCTION("""COMPUTED_VALUE"""),"Reinvenção comunicacional da política: modos de habitar e desabitar o século XXI")</f>
        <v>Reinvenção comunicacional da política: modos de habitar e desabitar o século XXI</v>
      </c>
      <c r="B786" s="24" t="str">
        <f>IFERROR(__xludf.DUMMYFUNCTION("""COMPUTED_VALUE"""),"Eduardo Jesus, Eneus Trindade, Jeder Silveira Janotti Junior, Marco Antonio Roxo da Silva (org.)")</f>
        <v>Eduardo Jesus, Eneus Trindade, Jeder Silveira Janotti Junior, Marco Antonio Roxo da Silva (org.)</v>
      </c>
      <c r="C786" s="24" t="str">
        <f>IFERROR(__xludf.DUMMYFUNCTION("""COMPUTED_VALUE"""),"Salvador")</f>
        <v>Salvador</v>
      </c>
      <c r="D786" s="24" t="str">
        <f>IFERROR(__xludf.DUMMYFUNCTION("""COMPUTED_VALUE"""),"EDUFBA")</f>
        <v>EDUFBA</v>
      </c>
      <c r="E786" s="25">
        <f>IFERROR(__xludf.DUMMYFUNCTION("""COMPUTED_VALUE"""),2016.0)</f>
        <v>2016</v>
      </c>
      <c r="F786" s="24" t="str">
        <f>IFERROR(__xludf.DUMMYFUNCTION("""COMPUTED_VALUE"""),"Política; Comunicação; Politicidade")</f>
        <v>Política; Comunicação; Politicidade</v>
      </c>
      <c r="G786" s="28" t="str">
        <f>IFERROR(__xludf.DUMMYFUNCTION("""COMPUTED_VALUE"""),"9788523214838")</f>
        <v>9788523214838</v>
      </c>
      <c r="H786" s="29" t="str">
        <f>IFERROR(__xludf.DUMMYFUNCTION("""COMPUTED_VALUE"""),"http://repositorio.ufba.br/ri/handle/ri/21199")</f>
        <v>http://repositorio.ufba.br/ri/handle/ri/21199</v>
      </c>
      <c r="I786" s="24" t="str">
        <f>IFERROR(__xludf.DUMMYFUNCTION("""COMPUTED_VALUE"""),"Ciências Humanas")</f>
        <v>Ciências Humanas</v>
      </c>
    </row>
    <row r="787">
      <c r="A787" s="24" t="str">
        <f>IFERROR(__xludf.DUMMYFUNCTION("""COMPUTED_VALUE"""),"Reis, santos e feiticeiros: Constâncio II e os fundamentos místicos da basileia 337-361. 2.ed.")</f>
        <v>Reis, santos e feiticeiros: Constâncio II e os fundamentos místicos da basileia 337-361. 2.ed.</v>
      </c>
      <c r="B787" s="24" t="str">
        <f>IFERROR(__xludf.DUMMYFUNCTION("""COMPUTED_VALUE"""),"Gilvan Ventura da Silva")</f>
        <v>Gilvan Ventura da Silva</v>
      </c>
      <c r="C787" s="24" t="str">
        <f>IFERROR(__xludf.DUMMYFUNCTION("""COMPUTED_VALUE"""),"Vitória")</f>
        <v>Vitória</v>
      </c>
      <c r="D787" s="24" t="str">
        <f>IFERROR(__xludf.DUMMYFUNCTION("""COMPUTED_VALUE"""),"EDUFES")</f>
        <v>EDUFES</v>
      </c>
      <c r="E787" s="25">
        <f>IFERROR(__xludf.DUMMYFUNCTION("""COMPUTED_VALUE"""),2015.0)</f>
        <v>2015</v>
      </c>
      <c r="F787" s="24" t="str">
        <f>IFERROR(__xludf.DUMMYFUNCTION("""COMPUTED_VALUE"""),"Roma; Império; Poder; Magia; Teologia")</f>
        <v>Roma; Império; Poder; Magia; Teologia</v>
      </c>
      <c r="G787" s="28" t="str">
        <f>IFERROR(__xludf.DUMMYFUNCTION("""COMPUTED_VALUE"""),"9788577723508")</f>
        <v>9788577723508</v>
      </c>
      <c r="H787" s="29" t="str">
        <f>IFERROR(__xludf.DUMMYFUNCTION("""COMPUTED_VALUE"""),"http://repositorio.ufes.br/handle/10/6772")</f>
        <v>http://repositorio.ufes.br/handle/10/6772</v>
      </c>
      <c r="I787" s="24" t="str">
        <f>IFERROR(__xludf.DUMMYFUNCTION("""COMPUTED_VALUE"""),"Ciências Humanas")</f>
        <v>Ciências Humanas</v>
      </c>
    </row>
    <row r="788">
      <c r="A788" s="24" t="str">
        <f>IFERROR(__xludf.DUMMYFUNCTION("""COMPUTED_VALUE"""),"Relações de gênero: dilemas e perspectivas. ")</f>
        <v>Relações de gênero: dilemas e perspectivas. </v>
      </c>
      <c r="B788" s="24" t="str">
        <f>IFERROR(__xludf.DUMMYFUNCTION("""COMPUTED_VALUE"""),"Marisa de Fátima Lomba de Farias, (org.)")</f>
        <v>Marisa de Fátima Lomba de Farias, (org.)</v>
      </c>
      <c r="C788" s="24" t="str">
        <f>IFERROR(__xludf.DUMMYFUNCTION("""COMPUTED_VALUE"""),"Dourados, MS")</f>
        <v>Dourados, MS</v>
      </c>
      <c r="D788" s="24" t="str">
        <f>IFERROR(__xludf.DUMMYFUNCTION("""COMPUTED_VALUE"""),"Editora da UFGD")</f>
        <v>Editora da UFGD</v>
      </c>
      <c r="E788" s="25">
        <f>IFERROR(__xludf.DUMMYFUNCTION("""COMPUTED_VALUE"""),2009.0)</f>
        <v>2009</v>
      </c>
      <c r="F788" s="24" t="str">
        <f>IFERROR(__xludf.DUMMYFUNCTION("""COMPUTED_VALUE"""),"Mulheres – Condições sociais- Mato Grosso do Sul;Mulheres – Condições sociais – Paraguai; Violência contra asmulheres; Trabalho infantil e Reforma agrária")</f>
        <v>Mulheres – Condições sociais- Mato Grosso do Sul;Mulheres – Condições sociais – Paraguai; Violência contra asmulheres; Trabalho infantil e Reforma agrária</v>
      </c>
      <c r="G788" s="28" t="str">
        <f>IFERROR(__xludf.DUMMYFUNCTION("""COMPUTED_VALUE"""),"9788561228231")</f>
        <v>9788561228231</v>
      </c>
      <c r="H788" s="29" t="str">
        <f>IFERROR(__xludf.DUMMYFUNCTION("""COMPUTED_VALUE"""),"http://omp.ufgd.edu.br/omp/index.php/livrosabertos/catalog/view/178/169/449-1")</f>
        <v>http://omp.ufgd.edu.br/omp/index.php/livrosabertos/catalog/view/178/169/449-1</v>
      </c>
      <c r="I788" s="24" t="str">
        <f>IFERROR(__xludf.DUMMYFUNCTION("""COMPUTED_VALUE"""),"Ciências Humanas")</f>
        <v>Ciências Humanas</v>
      </c>
    </row>
    <row r="789">
      <c r="A789" s="24" t="str">
        <f>IFERROR(__xludf.DUMMYFUNCTION("""COMPUTED_VALUE"""),"Relações e Hierarquias Marcadas por Gênero")</f>
        <v>Relações e Hierarquias Marcadas por Gênero</v>
      </c>
      <c r="B789" s="24" t="str">
        <f>IFERROR(__xludf.DUMMYFUNCTION("""COMPUTED_VALUE"""),"Parry Scott, Jorge Lyra e Isolda Belo da Fonte (org.)")</f>
        <v>Parry Scott, Jorge Lyra e Isolda Belo da Fonte (org.)</v>
      </c>
      <c r="C789" s="24" t="str">
        <f>IFERROR(__xludf.DUMMYFUNCTION("""COMPUTED_VALUE"""),"Recife")</f>
        <v>Recife</v>
      </c>
      <c r="D789" s="24" t="str">
        <f>IFERROR(__xludf.DUMMYFUNCTION("""COMPUTED_VALUE"""),"Editora Universitária da UFRPE")</f>
        <v>Editora Universitária da UFRPE</v>
      </c>
      <c r="E789" s="25">
        <f>IFERROR(__xludf.DUMMYFUNCTION("""COMPUTED_VALUE"""),2016.0)</f>
        <v>2016</v>
      </c>
      <c r="F789" s="24" t="str">
        <f>IFERROR(__xludf.DUMMYFUNCTION("""COMPUTED_VALUE"""),"Estudos feministas; Identidade de gênero; Violência contra as mulheres; Sexo; Mulheres")</f>
        <v>Estudos feministas; Identidade de gênero; Violência contra as mulheres; Sexo; Mulheres</v>
      </c>
      <c r="G789" s="28" t="str">
        <f>IFERROR(__xludf.DUMMYFUNCTION("""COMPUTED_VALUE"""),"9788541507721")</f>
        <v>9788541507721</v>
      </c>
      <c r="H789" s="29" t="str">
        <f>IFERROR(__xludf.DUMMYFUNCTION("""COMPUTED_VALUE"""),"https://www.dropbox.com/s/v0wait9u2g7nr7r/Livro02_Relacoes_e_Hierarquias_Marcadas_por_Genero.pdf?dl=0")</f>
        <v>https://www.dropbox.com/s/v0wait9u2g7nr7r/Livro02_Relacoes_e_Hierarquias_Marcadas_por_Genero.pdf?dl=0</v>
      </c>
      <c r="I789" s="24" t="str">
        <f>IFERROR(__xludf.DUMMYFUNCTION("""COMPUTED_VALUE"""),"Ciências Humanas")</f>
        <v>Ciências Humanas</v>
      </c>
    </row>
    <row r="790">
      <c r="A790" s="24" t="str">
        <f>IFERROR(__xludf.DUMMYFUNCTION("""COMPUTED_VALUE"""),"Relações entre linguagens no jornal: fotografia e narrativa verbal ")</f>
        <v>Relações entre linguagens no jornal: fotografia e narrativa verbal </v>
      </c>
      <c r="B790" s="24" t="str">
        <f>IFERROR(__xludf.DUMMYFUNCTION("""COMPUTED_VALUE"""),"Regina Souza Gomes")</f>
        <v>Regina Souza Gomes</v>
      </c>
      <c r="C790" s="24" t="str">
        <f>IFERROR(__xludf.DUMMYFUNCTION("""COMPUTED_VALUE"""),"Niterói, RJ")</f>
        <v>Niterói, RJ</v>
      </c>
      <c r="D790" s="24" t="str">
        <f>IFERROR(__xludf.DUMMYFUNCTION("""COMPUTED_VALUE"""),"EDUFF")</f>
        <v>EDUFF</v>
      </c>
      <c r="E790" s="25">
        <f>IFERROR(__xludf.DUMMYFUNCTION("""COMPUTED_VALUE"""),2008.0)</f>
        <v>2008</v>
      </c>
      <c r="F790" s="24" t="str">
        <f>IFERROR(__xludf.DUMMYFUNCTION("""COMPUTED_VALUE"""),"Linguagem jornalística; Fotografia jornalística")</f>
        <v>Linguagem jornalística; Fotografia jornalística</v>
      </c>
      <c r="G790" s="28" t="str">
        <f>IFERROR(__xludf.DUMMYFUNCTION("""COMPUTED_VALUE"""),"9788522804689")</f>
        <v>9788522804689</v>
      </c>
      <c r="H790" s="29" t="str">
        <f>IFERROR(__xludf.DUMMYFUNCTION("""COMPUTED_VALUE"""),"http://www.eduff.uff.br/ebooks/Relacoes-entre-linguagens-no-jornal.pdf")</f>
        <v>http://www.eduff.uff.br/ebooks/Relacoes-entre-linguagens-no-jornal.pdf</v>
      </c>
      <c r="I790" s="24" t="str">
        <f>IFERROR(__xludf.DUMMYFUNCTION("""COMPUTED_VALUE"""),"Ciências Humanas")</f>
        <v>Ciências Humanas</v>
      </c>
    </row>
    <row r="791">
      <c r="A791" s="24" t="str">
        <f>IFERROR(__xludf.DUMMYFUNCTION("""COMPUTED_VALUE"""),"Relações históricas entre trabalho, educação e pobreza")</f>
        <v>Relações históricas entre trabalho, educação e pobreza</v>
      </c>
      <c r="B791" s="24" t="str">
        <f>IFERROR(__xludf.DUMMYFUNCTION("""COMPUTED_VALUE"""),"Maria Escolástica de Moura Santos")</f>
        <v>Maria Escolástica de Moura Santos</v>
      </c>
      <c r="C791" s="24" t="str">
        <f>IFERROR(__xludf.DUMMYFUNCTION("""COMPUTED_VALUE"""),"Teresina")</f>
        <v>Teresina</v>
      </c>
      <c r="D791" s="24" t="str">
        <f>IFERROR(__xludf.DUMMYFUNCTION("""COMPUTED_VALUE"""),"EDUFPI")</f>
        <v>EDUFPI</v>
      </c>
      <c r="E791" s="25">
        <f>IFERROR(__xludf.DUMMYFUNCTION("""COMPUTED_VALUE"""),2018.0)</f>
        <v>2018</v>
      </c>
      <c r="F791" s="24" t="str">
        <f>IFERROR(__xludf.DUMMYFUNCTION("""COMPUTED_VALUE"""),"Trabalho-História; Educação; Pobreza")</f>
        <v>Trabalho-História; Educação; Pobreza</v>
      </c>
      <c r="G791" s="28" t="str">
        <f>IFERROR(__xludf.DUMMYFUNCTION("""COMPUTED_VALUE"""),"9788550903064")</f>
        <v>9788550903064</v>
      </c>
      <c r="H791" s="29" t="str">
        <f>IFERROR(__xludf.DUMMYFUNCTION("""COMPUTED_VALUE"""),"https://www.ufpi.br/arquivos_download/arquivos/EDUFPI/e-Book_-_Trabalho_Educacao_e_Pobreza02220180406155329.pdf")</f>
        <v>https://www.ufpi.br/arquivos_download/arquivos/EDUFPI/e-Book_-_Trabalho_Educacao_e_Pobreza02220180406155329.pdf</v>
      </c>
      <c r="I791" s="24" t="str">
        <f>IFERROR(__xludf.DUMMYFUNCTION("""COMPUTED_VALUE"""),"Ciências Humanas")</f>
        <v>Ciências Humanas</v>
      </c>
    </row>
    <row r="792">
      <c r="A792" s="24" t="str">
        <f>IFERROR(__xludf.DUMMYFUNCTION("""COMPUTED_VALUE"""),"Relações Identitárias e Intertextuais")</f>
        <v>Relações Identitárias e Intertextuais</v>
      </c>
      <c r="B792" s="24" t="str">
        <f>IFERROR(__xludf.DUMMYFUNCTION("""COMPUTED_VALUE"""),"Tatiana da Silva Capaverde; Luiz Eduardo Rodrigues Amaro; Mara Genecy Centeno Nogueira (org.); ")</f>
        <v>Tatiana da Silva Capaverde; Luiz Eduardo Rodrigues Amaro; Mara Genecy Centeno Nogueira (org.); </v>
      </c>
      <c r="C792" s="24" t="str">
        <f>IFERROR(__xludf.DUMMYFUNCTION("""COMPUTED_VALUE"""),"Boa Vista ")</f>
        <v>Boa Vista </v>
      </c>
      <c r="D792" s="24" t="str">
        <f>IFERROR(__xludf.DUMMYFUNCTION("""COMPUTED_VALUE"""),"UFRR")</f>
        <v>UFRR</v>
      </c>
      <c r="E792" s="25">
        <f>IFERROR(__xludf.DUMMYFUNCTION("""COMPUTED_VALUE"""),2020.0)</f>
        <v>2020</v>
      </c>
      <c r="F792" s="24" t="str">
        <f>IFERROR(__xludf.DUMMYFUNCTION("""COMPUTED_VALUE"""),"Indivíduo; Sociedade; Construção da identidade")</f>
        <v>Indivíduo; Sociedade; Construção da identidade</v>
      </c>
      <c r="G792" s="28" t="str">
        <f>IFERROR(__xludf.DUMMYFUNCTION("""COMPUTED_VALUE"""),"9786586062496")</f>
        <v>9786586062496</v>
      </c>
      <c r="H792" s="29" t="str">
        <f>IFERROR(__xludf.DUMMYFUNCTION("""COMPUTED_VALUE"""),"http://ufrr.br/editora/index.php/editais?download=448")</f>
        <v>http://ufrr.br/editora/index.php/editais?download=448</v>
      </c>
      <c r="I792" s="24" t="str">
        <f>IFERROR(__xludf.DUMMYFUNCTION("""COMPUTED_VALUE"""),"Ciências Humanas")</f>
        <v>Ciências Humanas</v>
      </c>
    </row>
    <row r="793">
      <c r="A793" s="24" t="str">
        <f>IFERROR(__xludf.DUMMYFUNCTION("""COMPUTED_VALUE"""),"Relações internacionais e direito: estudos multitemáticos. ")</f>
        <v>Relações internacionais e direito: estudos multitemáticos. </v>
      </c>
      <c r="B793" s="24" t="str">
        <f>IFERROR(__xludf.DUMMYFUNCTION("""COMPUTED_VALUE"""),"Rafael Salatini, Helder Barufi, Verônica Maria Bezerra Guimarães, (org.)")</f>
        <v>Rafael Salatini, Helder Barufi, Verônica Maria Bezerra Guimarães, (org.)</v>
      </c>
      <c r="C793" s="24" t="str">
        <f>IFERROR(__xludf.DUMMYFUNCTION("""COMPUTED_VALUE"""),"Dourados, MS")</f>
        <v>Dourados, MS</v>
      </c>
      <c r="D793" s="24" t="str">
        <f>IFERROR(__xludf.DUMMYFUNCTION("""COMPUTED_VALUE"""),"Editora da UFGD")</f>
        <v>Editora da UFGD</v>
      </c>
      <c r="E793" s="25">
        <f>IFERROR(__xludf.DUMMYFUNCTION("""COMPUTED_VALUE"""),2010.0)</f>
        <v>2010</v>
      </c>
      <c r="F793" s="24" t="str">
        <f>IFERROR(__xludf.DUMMYFUNCTION("""COMPUTED_VALUE"""),"Direito – Miscelânea; Relações internacionais – Miscelânea")</f>
        <v>Direito – Miscelânea; Relações internacionais – Miscelânea</v>
      </c>
      <c r="G793" s="28" t="str">
        <f>IFERROR(__xludf.DUMMYFUNCTION("""COMPUTED_VALUE"""),"9788561228590")</f>
        <v>9788561228590</v>
      </c>
      <c r="H793" s="29" t="str">
        <f>IFERROR(__xludf.DUMMYFUNCTION("""COMPUTED_VALUE"""),"http://omp.ufgd.edu.br/omp/index.php/livrosabertos/catalog/view/179/168/448-1")</f>
        <v>http://omp.ufgd.edu.br/omp/index.php/livrosabertos/catalog/view/179/168/448-1</v>
      </c>
      <c r="I793" s="24" t="str">
        <f>IFERROR(__xludf.DUMMYFUNCTION("""COMPUTED_VALUE"""),"Ciências Humanas")</f>
        <v>Ciências Humanas</v>
      </c>
    </row>
    <row r="794">
      <c r="A794" s="24" t="str">
        <f>IFERROR(__xludf.DUMMYFUNCTION("""COMPUTED_VALUE"""),"Relatos de experiências exitosas das IES: formação do docente do Ensino Superior, assistência estudantil e assistência pedagógica*")</f>
        <v>Relatos de experiências exitosas das IES: formação do docente do Ensino Superior, assistência estudantil e assistência pedagógica*</v>
      </c>
      <c r="B794" s="24" t="str">
        <f>IFERROR(__xludf.DUMMYFUNCTION("""COMPUTED_VALUE"""),"Elenita conegero Manchope")</f>
        <v>Elenita conegero Manchope</v>
      </c>
      <c r="C794" s="24" t="str">
        <f>IFERROR(__xludf.DUMMYFUNCTION("""COMPUTED_VALUE"""),"Cascavel")</f>
        <v>Cascavel</v>
      </c>
      <c r="D794" s="24" t="str">
        <f>IFERROR(__xludf.DUMMYFUNCTION("""COMPUTED_VALUE"""),"Editora UEPG")</f>
        <v>Editora UEPG</v>
      </c>
      <c r="E794" s="25">
        <f>IFERROR(__xludf.DUMMYFUNCTION("""COMPUTED_VALUE"""),2017.0)</f>
        <v>2017</v>
      </c>
      <c r="F794" s="24" t="str">
        <f>IFERROR(__xludf.DUMMYFUNCTION("""COMPUTED_VALUE"""),"Educação Inclusiva no Ensino Superior")</f>
        <v>Educação Inclusiva no Ensino Superior</v>
      </c>
      <c r="G794" s="28" t="str">
        <f>IFERROR(__xludf.DUMMYFUNCTION("""COMPUTED_VALUE"""),"9788576443452")</f>
        <v>9788576443452</v>
      </c>
      <c r="H794" s="29" t="str">
        <f>IFERROR(__xludf.DUMMYFUNCTION("""COMPUTED_VALUE"""),"https://portal-archipelagus.azurewebsites.net/farol/edunioeste/ebook/relatos-de-experiencias-exitosas-das-ies-formacao-do-docente-do-ensino-superior-assistencia-estudantil-e-assistencia-pedagogica/1204359/")</f>
        <v>https://portal-archipelagus.azurewebsites.net/farol/edunioeste/ebook/relatos-de-experiencias-exitosas-das-ies-formacao-do-docente-do-ensino-superior-assistencia-estudantil-e-assistencia-pedagogica/1204359/</v>
      </c>
      <c r="I794" s="24" t="str">
        <f>IFERROR(__xludf.DUMMYFUNCTION("""COMPUTED_VALUE"""),"Ciências Humanas")</f>
        <v>Ciências Humanas</v>
      </c>
    </row>
    <row r="795">
      <c r="A795" s="24" t="str">
        <f>IFERROR(__xludf.DUMMYFUNCTION("""COMPUTED_VALUE"""),"Religião e religiosidade na Amazônia e na contemporaneidade ")</f>
        <v>Religião e religiosidade na Amazônia e na contemporaneidade </v>
      </c>
      <c r="B795" s="24" t="str">
        <f>IFERROR(__xludf.DUMMYFUNCTION("""COMPUTED_VALUE"""),"Paula Bastone; Marcos Vinicius de Freitas Reis (org.)")</f>
        <v>Paula Bastone; Marcos Vinicius de Freitas Reis (org.)</v>
      </c>
      <c r="C795" s="24" t="str">
        <f>IFERROR(__xludf.DUMMYFUNCTION("""COMPUTED_VALUE"""),"Macapá")</f>
        <v>Macapá</v>
      </c>
      <c r="D795" s="24" t="str">
        <f>IFERROR(__xludf.DUMMYFUNCTION("""COMPUTED_VALUE"""),"UNIFAP")</f>
        <v>UNIFAP</v>
      </c>
      <c r="E795" s="25">
        <f>IFERROR(__xludf.DUMMYFUNCTION("""COMPUTED_VALUE"""),2018.0)</f>
        <v>2018</v>
      </c>
      <c r="F795" s="24" t="str">
        <f>IFERROR(__xludf.DUMMYFUNCTION("""COMPUTED_VALUE"""),"Religião; Catolicismo; Ensino – Ensino Religioso")</f>
        <v>Religião; Catolicismo; Ensino – Ensino Religioso</v>
      </c>
      <c r="G795" s="28" t="str">
        <f>IFERROR(__xludf.DUMMYFUNCTION("""COMPUTED_VALUE"""),"9788554760465")</f>
        <v>9788554760465</v>
      </c>
      <c r="H795" s="29" t="str">
        <f>IFERROR(__xludf.DUMMYFUNCTION("""COMPUTED_VALUE"""),"https://www2.unifap.br/editora/files/2019/04/Religiao-e-Religiosidade-na-Amazonia-e-na-Contemporaneidade.pdf")</f>
        <v>https://www2.unifap.br/editora/files/2019/04/Religiao-e-Religiosidade-na-Amazonia-e-na-Contemporaneidade.pdf</v>
      </c>
      <c r="I795" s="24" t="str">
        <f>IFERROR(__xludf.DUMMYFUNCTION("""COMPUTED_VALUE"""),"Ciências Humanas")</f>
        <v>Ciências Humanas</v>
      </c>
    </row>
    <row r="796">
      <c r="A796" s="24" t="str">
        <f>IFERROR(__xludf.DUMMYFUNCTION("""COMPUTED_VALUE"""),"Religião e território no Brasil: 1991/2010")</f>
        <v>Religião e território no Brasil: 1991/2010</v>
      </c>
      <c r="B796" s="24" t="str">
        <f>IFERROR(__xludf.DUMMYFUNCTION("""COMPUTED_VALUE"""),"Cesar Romero Jacob; Dora Rodrigues Hees; Philippe Waniez")</f>
        <v>Cesar Romero Jacob; Dora Rodrigues Hees; Philippe Waniez</v>
      </c>
      <c r="C796" s="24" t="str">
        <f>IFERROR(__xludf.DUMMYFUNCTION("""COMPUTED_VALUE"""),"Rio de Janeiro")</f>
        <v>Rio de Janeiro</v>
      </c>
      <c r="D796" s="24" t="str">
        <f>IFERROR(__xludf.DUMMYFUNCTION("""COMPUTED_VALUE"""),"Editora PUC Rio")</f>
        <v>Editora PUC Rio</v>
      </c>
      <c r="E796" s="25">
        <f>IFERROR(__xludf.DUMMYFUNCTION("""COMPUTED_VALUE"""),2013.0)</f>
        <v>2013</v>
      </c>
      <c r="F796" s="24" t="str">
        <f>IFERROR(__xludf.DUMMYFUNCTION("""COMPUTED_VALUE"""),"Religiões - Indicadores - Brasil. Indicadores sociais - Brasil")</f>
        <v>Religiões - Indicadores - Brasil. Indicadores sociais - Brasil</v>
      </c>
      <c r="G796" s="28" t="str">
        <f>IFERROR(__xludf.DUMMYFUNCTION("""COMPUTED_VALUE"""),"9788580061000")</f>
        <v>9788580061000</v>
      </c>
      <c r="H796" s="29" t="str">
        <f>IFERROR(__xludf.DUMMYFUNCTION("""COMPUTED_VALUE"""),"http://www.editora.puc-rio.br/media/E-book%20Religi%C3%A3o%20e%20Territ%C3%B3rio%20no%20Brasil_1991-2010.pdf")</f>
        <v>http://www.editora.puc-rio.br/media/E-book%20Religi%C3%A3o%20e%20Territ%C3%B3rio%20no%20Brasil_1991-2010.pdf</v>
      </c>
      <c r="I796" s="24" t="str">
        <f>IFERROR(__xludf.DUMMYFUNCTION("""COMPUTED_VALUE"""),"Ciências Humanas")</f>
        <v>Ciências Humanas</v>
      </c>
    </row>
    <row r="797">
      <c r="A797" s="24" t="str">
        <f>IFERROR(__xludf.DUMMYFUNCTION("""COMPUTED_VALUE"""),"Religiões e identidades")</f>
        <v>Religiões e identidades</v>
      </c>
      <c r="B797" s="24" t="str">
        <f>IFERROR(__xludf.DUMMYFUNCTION("""COMPUTED_VALUE"""),"Jérri Roberto Marin (org.)")</f>
        <v>Jérri Roberto Marin (org.)</v>
      </c>
      <c r="C797" s="24" t="str">
        <f>IFERROR(__xludf.DUMMYFUNCTION("""COMPUTED_VALUE"""),"Dourados, MS")</f>
        <v>Dourados, MS</v>
      </c>
      <c r="D797" s="24" t="str">
        <f>IFERROR(__xludf.DUMMYFUNCTION("""COMPUTED_VALUE"""),"Ed. da UFGD")</f>
        <v>Ed. da UFGD</v>
      </c>
      <c r="E797" s="25">
        <f>IFERROR(__xludf.DUMMYFUNCTION("""COMPUTED_VALUE"""),2012.0)</f>
        <v>2012</v>
      </c>
      <c r="F797" s="24" t="str">
        <f>IFERROR(__xludf.DUMMYFUNCTION("""COMPUTED_VALUE"""),"Religião; Religiosidade; Identidade religiosa; Cristianismo")</f>
        <v>Religião; Religiosidade; Identidade religiosa; Cristianismo</v>
      </c>
      <c r="G797" s="28" t="str">
        <f>IFERROR(__xludf.DUMMYFUNCTION("""COMPUTED_VALUE"""),"9788561228866")</f>
        <v>9788561228866</v>
      </c>
      <c r="H797" s="29" t="str">
        <f>IFERROR(__xludf.DUMMYFUNCTION("""COMPUTED_VALUE"""),"http://omp.ufgd.edu.br/omp/index.php/livrosabertos/catalog/view/180/167/447-1")</f>
        <v>http://omp.ufgd.edu.br/omp/index.php/livrosabertos/catalog/view/180/167/447-1</v>
      </c>
      <c r="I797" s="24" t="str">
        <f>IFERROR(__xludf.DUMMYFUNCTION("""COMPUTED_VALUE"""),"Ciências Humanas")</f>
        <v>Ciências Humanas</v>
      </c>
    </row>
    <row r="798">
      <c r="A798" s="24" t="str">
        <f>IFERROR(__xludf.DUMMYFUNCTION("""COMPUTED_VALUE"""),"Representações do escondido: o real oculto e o dado evidente: comemorando 50 anos de magistério ")</f>
        <v>Representações do escondido: o real oculto e o dado evidente: comemorando 50 anos de magistério </v>
      </c>
      <c r="B798" s="24" t="str">
        <f>IFERROR(__xludf.DUMMYFUNCTION("""COMPUTED_VALUE"""),"Ruy do Carmo Póvoas")</f>
        <v>Ruy do Carmo Póvoas</v>
      </c>
      <c r="C798" s="24" t="str">
        <f>IFERROR(__xludf.DUMMYFUNCTION("""COMPUTED_VALUE"""),"Ilhéus, BA")</f>
        <v>Ilhéus, BA</v>
      </c>
      <c r="D798" s="24" t="str">
        <f>IFERROR(__xludf.DUMMYFUNCTION("""COMPUTED_VALUE"""),"Editus")</f>
        <v>Editus</v>
      </c>
      <c r="E798" s="25">
        <f>IFERROR(__xludf.DUMMYFUNCTION("""COMPUTED_VALUE"""),2017.0)</f>
        <v>2017</v>
      </c>
      <c r="F798" s="24" t="str">
        <f>IFERROR(__xludf.DUMMYFUNCTION("""COMPUTED_VALUE"""),"Representações sociais; Interação social; Estrutura social – Aspectos simbólicos; Professores; – Formação; Cultura")</f>
        <v>Representações sociais; Interação social; Estrutura social – Aspectos simbólicos; Professores; – Formação; Cultura</v>
      </c>
      <c r="G798" s="28" t="str">
        <f>IFERROR(__xludf.DUMMYFUNCTION("""COMPUTED_VALUE"""),"9788574554495")</f>
        <v>9788574554495</v>
      </c>
      <c r="H798" s="29" t="str">
        <f>IFERROR(__xludf.DUMMYFUNCTION("""COMPUTED_VALUE"""),"http://www.uesc.br/editora/livrosdigitais2018/representacoes_do_escondido.pdf")</f>
        <v>http://www.uesc.br/editora/livrosdigitais2018/representacoes_do_escondido.pdf</v>
      </c>
      <c r="I798" s="24" t="str">
        <f>IFERROR(__xludf.DUMMYFUNCTION("""COMPUTED_VALUE"""),"Ciências Humanas")</f>
        <v>Ciências Humanas</v>
      </c>
    </row>
    <row r="799">
      <c r="A799" s="24" t="str">
        <f>IFERROR(__xludf.DUMMYFUNCTION("""COMPUTED_VALUE"""),"REPÚBLICA: ESCRITOS DE HISTÓRIA LABORHIS - SÉRIE MONOGRÁFICA")</f>
        <v>REPÚBLICA: ESCRITOS DE HISTÓRIA LABORHIS - SÉRIE MONOGRÁFICA</v>
      </c>
      <c r="B799" s="24" t="str">
        <f>IFERROR(__xludf.DUMMYFUNCTION("""COMPUTED_VALUE"""),"Antonio Carlos Feirra Pinheiro, Damião de Limas, Célia Gonçalves, Paulo Giovani Antonio Nunes, Telma Critiane Degaldo, Dias Fernandes. ")</f>
        <v>Antonio Carlos Feirra Pinheiro, Damião de Limas, Célia Gonçalves, Paulo Giovani Antonio Nunes, Telma Critiane Degaldo, Dias Fernandes. </v>
      </c>
      <c r="C799" s="24" t="str">
        <f>IFERROR(__xludf.DUMMYFUNCTION("""COMPUTED_VALUE"""),"João Pessoa")</f>
        <v>João Pessoa</v>
      </c>
      <c r="D799" s="24" t="str">
        <f>IFERROR(__xludf.DUMMYFUNCTION("""COMPUTED_VALUE"""),"Editora da UFPB")</f>
        <v>Editora da UFPB</v>
      </c>
      <c r="E799" s="25">
        <f>IFERROR(__xludf.DUMMYFUNCTION("""COMPUTED_VALUE"""),2017.0)</f>
        <v>2017</v>
      </c>
      <c r="F799" s="24" t="str">
        <f>IFERROR(__xludf.DUMMYFUNCTION("""COMPUTED_VALUE"""),"História")</f>
        <v>História</v>
      </c>
      <c r="G799" s="28" t="str">
        <f>IFERROR(__xludf.DUMMYFUNCTION("""COMPUTED_VALUE"""),"9788523711962")</f>
        <v>9788523711962</v>
      </c>
      <c r="H799" s="29" t="str">
        <f>IFERROR(__xludf.DUMMYFUNCTION("""COMPUTED_VALUE"""),"http://www.editora.ufpb.br/sistema/press5/index.php/UFPB/catalog/book/111")</f>
        <v>http://www.editora.ufpb.br/sistema/press5/index.php/UFPB/catalog/book/111</v>
      </c>
      <c r="I799" s="24" t="str">
        <f>IFERROR(__xludf.DUMMYFUNCTION("""COMPUTED_VALUE"""),"Ciências Humanas")</f>
        <v>Ciências Humanas</v>
      </c>
    </row>
    <row r="800">
      <c r="A800" s="24" t="str">
        <f>IFERROR(__xludf.DUMMYFUNCTION("""COMPUTED_VALUE"""),"Resistência e Integração: as classes trabalhadoras e a criação de sindicato único e oficial no Rio de Janeiro")</f>
        <v>Resistência e Integração: as classes trabalhadoras e a criação de sindicato único e oficial no Rio de Janeiro</v>
      </c>
      <c r="B800" s="24" t="str">
        <f>IFERROR(__xludf.DUMMYFUNCTION("""COMPUTED_VALUE"""),"Ronaldo Pereira de Jesus")</f>
        <v>Ronaldo Pereira de Jesus</v>
      </c>
      <c r="C800" s="24" t="str">
        <f>IFERROR(__xludf.DUMMYFUNCTION("""COMPUTED_VALUE"""),"Ouro Preto")</f>
        <v>Ouro Preto</v>
      </c>
      <c r="D800" s="24" t="str">
        <f>IFERROR(__xludf.DUMMYFUNCTION("""COMPUTED_VALUE"""),"UFOP")</f>
        <v>UFOP</v>
      </c>
      <c r="E800" s="25">
        <f>IFERROR(__xludf.DUMMYFUNCTION("""COMPUTED_VALUE"""),2012.0)</f>
        <v>2012</v>
      </c>
      <c r="F800" s="24" t="str">
        <f>IFERROR(__xludf.DUMMYFUNCTION("""COMPUTED_VALUE"""),"Trabalhadores-Rio de Janeiro. Sindicatos")</f>
        <v>Trabalhadores-Rio de Janeiro. Sindicatos</v>
      </c>
      <c r="G800" s="28" t="str">
        <f>IFERROR(__xludf.DUMMYFUNCTION("""COMPUTED_VALUE"""),"9788528802924")</f>
        <v>9788528802924</v>
      </c>
      <c r="H800" s="29" t="str">
        <f>IFERROR(__xludf.DUMMYFUNCTION("""COMPUTED_VALUE"""),"https://www.editora.ufop.br/index.php/editora/catalog/view/45/31/105-1")</f>
        <v>https://www.editora.ufop.br/index.php/editora/catalog/view/45/31/105-1</v>
      </c>
      <c r="I800" s="24" t="str">
        <f>IFERROR(__xludf.DUMMYFUNCTION("""COMPUTED_VALUE"""),"Ciências Humanas")</f>
        <v>Ciências Humanas</v>
      </c>
    </row>
    <row r="801">
      <c r="A801" s="24" t="str">
        <f>IFERROR(__xludf.DUMMYFUNCTION("""COMPUTED_VALUE"""),"Revisitando o território fluminense, VI")</f>
        <v>Revisitando o território fluminense, VI</v>
      </c>
      <c r="B801" s="24" t="str">
        <f>IFERROR(__xludf.DUMMYFUNCTION("""COMPUTED_VALUE"""),"Glaucio José Marafon, Miguel Angelo Ribeiro (org.) ")</f>
        <v>Glaucio José Marafon, Miguel Angelo Ribeiro (org.) </v>
      </c>
      <c r="C801" s="24" t="str">
        <f>IFERROR(__xludf.DUMMYFUNCTION("""COMPUTED_VALUE"""),"Rio de Janeiro, RJ")</f>
        <v>Rio de Janeiro, RJ</v>
      </c>
      <c r="D801" s="24" t="str">
        <f>IFERROR(__xludf.DUMMYFUNCTION("""COMPUTED_VALUE"""),"EdUERJ")</f>
        <v>EdUERJ</v>
      </c>
      <c r="E801" s="25">
        <f>IFERROR(__xludf.DUMMYFUNCTION("""COMPUTED_VALUE"""),2017.0)</f>
        <v>2017</v>
      </c>
      <c r="F801" s="24" t="str">
        <f>IFERROR(__xludf.DUMMYFUNCTION("""COMPUTED_VALUE"""),"Geografia – Rio de Janeiro (Estado)")</f>
        <v>Geografia – Rio de Janeiro (Estado)</v>
      </c>
      <c r="G801" s="28" t="str">
        <f>IFERROR(__xludf.DUMMYFUNCTION("""COMPUTED_VALUE"""),"9788575114346")</f>
        <v>9788575114346</v>
      </c>
      <c r="H801" s="29" t="str">
        <f>IFERROR(__xludf.DUMMYFUNCTION("""COMPUTED_VALUE"""),"http://books.scielo.org/id/3zhhw/pdf/marafon-9788575114575.pdf")</f>
        <v>http://books.scielo.org/id/3zhhw/pdf/marafon-9788575114575.pdf</v>
      </c>
      <c r="I801" s="24" t="str">
        <f>IFERROR(__xludf.DUMMYFUNCTION("""COMPUTED_VALUE"""),"Ciências Humanas")</f>
        <v>Ciências Humanas</v>
      </c>
    </row>
    <row r="802">
      <c r="A802" s="24" t="str">
        <f>IFERROR(__xludf.DUMMYFUNCTION("""COMPUTED_VALUE"""),"Revolução cabana e construção da identidade amazônida")</f>
        <v>Revolução cabana e construção da identidade amazônida</v>
      </c>
      <c r="B802" s="24" t="str">
        <f>IFERROR(__xludf.DUMMYFUNCTION("""COMPUTED_VALUE"""),"Denise Simões Rodrigues")</f>
        <v>Denise Simões Rodrigues</v>
      </c>
      <c r="C802" s="24" t="str">
        <f>IFERROR(__xludf.DUMMYFUNCTION("""COMPUTED_VALUE"""),"Belém")</f>
        <v>Belém</v>
      </c>
      <c r="D802" s="24" t="str">
        <f>IFERROR(__xludf.DUMMYFUNCTION("""COMPUTED_VALUE"""),"UEPA")</f>
        <v>UEPA</v>
      </c>
      <c r="E802" s="25">
        <f>IFERROR(__xludf.DUMMYFUNCTION("""COMPUTED_VALUE"""),2019.0)</f>
        <v>2019</v>
      </c>
      <c r="F802" s="24" t="str">
        <f>IFERROR(__xludf.DUMMYFUNCTION("""COMPUTED_VALUE"""),"Brasil – História- Cabanagem, 1835 - 1840")</f>
        <v>Brasil – História- Cabanagem, 1835 - 1840</v>
      </c>
      <c r="G802" s="28" t="str">
        <f>IFERROR(__xludf.DUMMYFUNCTION("""COMPUTED_VALUE"""),"9788584580477")</f>
        <v>9788584580477</v>
      </c>
      <c r="H802" s="29" t="str">
        <f>IFERROR(__xludf.DUMMYFUNCTION("""COMPUTED_VALUE"""),"https://paginas.uepa.br/eduepa/wp-content/uploads/2020/02/revolucao_cabana.pdf")</f>
        <v>https://paginas.uepa.br/eduepa/wp-content/uploads/2020/02/revolucao_cabana.pdf</v>
      </c>
      <c r="I802" s="24" t="str">
        <f>IFERROR(__xludf.DUMMYFUNCTION("""COMPUTED_VALUE"""),"Ciências Humanas")</f>
        <v>Ciências Humanas</v>
      </c>
    </row>
    <row r="803">
      <c r="A803" s="24" t="str">
        <f>IFERROR(__xludf.DUMMYFUNCTION("""COMPUTED_VALUE"""),"Rio de Janeiro: uma abordagem dialógica sobre o território fluminense")</f>
        <v>Rio de Janeiro: uma abordagem dialógica sobre o território fluminense</v>
      </c>
      <c r="B803" s="24" t="str">
        <f>IFERROR(__xludf.DUMMYFUNCTION("""COMPUTED_VALUE"""),"Angela Penalva ... (et al.), organização.")</f>
        <v>Angela Penalva ... (et al.), organização.</v>
      </c>
      <c r="C803" s="24" t="str">
        <f>IFERROR(__xludf.DUMMYFUNCTION("""COMPUTED_VALUE"""),"Rio de Janeiro, RJ")</f>
        <v>Rio de Janeiro, RJ</v>
      </c>
      <c r="D803" s="24" t="str">
        <f>IFERROR(__xludf.DUMMYFUNCTION("""COMPUTED_VALUE"""),"EdUERJ")</f>
        <v>EdUERJ</v>
      </c>
      <c r="E803" s="25">
        <f>IFERROR(__xludf.DUMMYFUNCTION("""COMPUTED_VALUE"""),2018.0)</f>
        <v>2018</v>
      </c>
      <c r="F803" s="24" t="str">
        <f>IFERROR(__xludf.DUMMYFUNCTION("""COMPUTED_VALUE"""),"Rio de Janeiro (Estado) - Geografia")</f>
        <v>Rio de Janeiro (Estado) - Geografia</v>
      </c>
      <c r="G803" s="28" t="str">
        <f>IFERROR(__xludf.DUMMYFUNCTION("""COMPUTED_VALUE"""),"9788575114766")</f>
        <v>9788575114766</v>
      </c>
      <c r="H803" s="29" t="str">
        <f>IFERROR(__xludf.DUMMYFUNCTION("""COMPUTED_VALUE"""),"http://books.scielo.org/id/tkysm/pdf/penalva-9788575115169.pdf")</f>
        <v>http://books.scielo.org/id/tkysm/pdf/penalva-9788575115169.pdf</v>
      </c>
      <c r="I803" s="24" t="str">
        <f>IFERROR(__xludf.DUMMYFUNCTION("""COMPUTED_VALUE"""),"Ciências Humanas")</f>
        <v>Ciências Humanas</v>
      </c>
    </row>
    <row r="804">
      <c r="A804" s="24" t="str">
        <f>IFERROR(__xludf.DUMMYFUNCTION("""COMPUTED_VALUE"""),"Rio de Janeiro: Uma abordagem dialógica sobre o território fluminense")</f>
        <v>Rio de Janeiro: Uma abordagem dialógica sobre o território fluminense</v>
      </c>
      <c r="B804" s="24" t="str">
        <f>IFERROR(__xludf.DUMMYFUNCTION("""COMPUTED_VALUE"""),"Angela Penalva, Arícia Fernandes Correia, Glaucio José Marafon, Maria Josefina Gabriel Sant’Anna (Org.)")</f>
        <v>Angela Penalva, Arícia Fernandes Correia, Glaucio José Marafon, Maria Josefina Gabriel Sant’Anna (Org.)</v>
      </c>
      <c r="C804" s="24" t="str">
        <f>IFERROR(__xludf.DUMMYFUNCTION("""COMPUTED_VALUE"""),"Rio de Janeiro")</f>
        <v>Rio de Janeiro</v>
      </c>
      <c r="D804" s="24" t="str">
        <f>IFERROR(__xludf.DUMMYFUNCTION("""COMPUTED_VALUE"""),"EdUERJ")</f>
        <v>EdUERJ</v>
      </c>
      <c r="E804" s="25">
        <f>IFERROR(__xludf.DUMMYFUNCTION("""COMPUTED_VALUE"""),2018.0)</f>
        <v>2018</v>
      </c>
      <c r="F804" s="24" t="str">
        <f>IFERROR(__xludf.DUMMYFUNCTION("""COMPUTED_VALUE"""),"Abordagem dialógica; Rio de Janeiro; Geografia")</f>
        <v>Abordagem dialógica; Rio de Janeiro; Geografia</v>
      </c>
      <c r="G804" s="28" t="str">
        <f>IFERROR(__xludf.DUMMYFUNCTION("""COMPUTED_VALUE"""),"9788575114766")</f>
        <v>9788575114766</v>
      </c>
      <c r="H804" s="29" t="str">
        <f>IFERROR(__xludf.DUMMYFUNCTION("""COMPUTED_VALUE"""),"https://www.eduerj.com/eng/?product=rio-de-janeiro-uma-abordagem-dialogica-sobre-o-territorio-fluminense")</f>
        <v>https://www.eduerj.com/eng/?product=rio-de-janeiro-uma-abordagem-dialogica-sobre-o-territorio-fluminense</v>
      </c>
      <c r="I804" s="24" t="str">
        <f>IFERROR(__xludf.DUMMYFUNCTION("""COMPUTED_VALUE"""),"Ciências Humanas")</f>
        <v>Ciências Humanas</v>
      </c>
    </row>
    <row r="805">
      <c r="A805" s="24" t="str">
        <f>IFERROR(__xludf.DUMMYFUNCTION("""COMPUTED_VALUE"""),"Rui Barbosa e a queima de arquivos")</f>
        <v>Rui Barbosa e a queima de arquivos</v>
      </c>
      <c r="B805" s="24" t="str">
        <f>IFERROR(__xludf.DUMMYFUNCTION("""COMPUTED_VALUE"""),"Américo Jacobina Lacombe; Eduardo Silva; Francisco de Assis Barbosa")</f>
        <v>Américo Jacobina Lacombe; Eduardo Silva; Francisco de Assis Barbosa</v>
      </c>
      <c r="C805" s="24" t="str">
        <f>IFERROR(__xludf.DUMMYFUNCTION("""COMPUTED_VALUE"""),"Rio de Janeiro")</f>
        <v>Rio de Janeiro</v>
      </c>
      <c r="D805" s="24" t="str">
        <f>IFERROR(__xludf.DUMMYFUNCTION("""COMPUTED_VALUE"""),"Fundação Casa de Rui Barbosa")</f>
        <v>Fundação Casa de Rui Barbosa</v>
      </c>
      <c r="E805" s="25">
        <f>IFERROR(__xludf.DUMMYFUNCTION("""COMPUTED_VALUE"""),1988.0)</f>
        <v>1988</v>
      </c>
      <c r="F805" s="24" t="str">
        <f>IFERROR(__xludf.DUMMYFUNCTION("""COMPUTED_VALUE"""),"Barbosa, R.- Abolição da escravatura - Brasil")</f>
        <v>Barbosa, R.- Abolição da escravatura - Brasil</v>
      </c>
      <c r="G805" s="28" t="str">
        <f>IFERROR(__xludf.DUMMYFUNCTION("""COMPUTED_VALUE"""),"8570041071")</f>
        <v>8570041071</v>
      </c>
      <c r="H805" s="29" t="str">
        <f>IFERROR(__xludf.DUMMYFUNCTION("""COMPUTED_VALUE"""),"http://www.casaruibarbosa.gov.br/arquivos/file/rui%20barbosa%20e%20a%20queima%20dos%20arquivos%20OCR.pdf")</f>
        <v>http://www.casaruibarbosa.gov.br/arquivos/file/rui%20barbosa%20e%20a%20queima%20dos%20arquivos%20OCR.pdf</v>
      </c>
      <c r="I805" s="24" t="str">
        <f>IFERROR(__xludf.DUMMYFUNCTION("""COMPUTED_VALUE"""),"Ciências Humanas")</f>
        <v>Ciências Humanas</v>
      </c>
    </row>
    <row r="806">
      <c r="A806" s="24" t="str">
        <f>IFERROR(__xludf.DUMMYFUNCTION("""COMPUTED_VALUE"""),"Saberes da terra: teoria e vivências")</f>
        <v>Saberes da terra: teoria e vivências</v>
      </c>
      <c r="B806" s="24" t="str">
        <f>IFERROR(__xludf.DUMMYFUNCTION("""COMPUTED_VALUE"""),"Alexandra Santos Pinheiro; Losandro Antonio Tedeschi; Walter Roberto Marschner (org.)")</f>
        <v>Alexandra Santos Pinheiro; Losandro Antonio Tedeschi; Walter Roberto Marschner (org.)</v>
      </c>
      <c r="C806" s="24" t="str">
        <f>IFERROR(__xludf.DUMMYFUNCTION("""COMPUTED_VALUE"""),"Dourados, MS")</f>
        <v>Dourados, MS</v>
      </c>
      <c r="D806" s="24" t="str">
        <f>IFERROR(__xludf.DUMMYFUNCTION("""COMPUTED_VALUE"""),"Ed. da UFGD")</f>
        <v>Ed. da UFGD</v>
      </c>
      <c r="E806" s="25">
        <f>IFERROR(__xludf.DUMMYFUNCTION("""COMPUTED_VALUE"""),2012.0)</f>
        <v>2012</v>
      </c>
      <c r="F806" s="24" t="str">
        <f>IFERROR(__xludf.DUMMYFUNCTION("""COMPUTED_VALUE"""),"Professores – Formação; Formação proissional; Prática de ensino")</f>
        <v>Professores – Formação; Formação proissional; Prática de ensino</v>
      </c>
      <c r="G806" s="28" t="str">
        <f>IFERROR(__xludf.DUMMYFUNCTION("""COMPUTED_VALUE"""),"9788581470009")</f>
        <v>9788581470009</v>
      </c>
      <c r="H806" s="29" t="str">
        <f>IFERROR(__xludf.DUMMYFUNCTION("""COMPUTED_VALUE"""),"http://omp.ufgd.edu.br/omp/index.php/livrosabertos/catalog/view/53/53/136-1")</f>
        <v>http://omp.ufgd.edu.br/omp/index.php/livrosabertos/catalog/view/53/53/136-1</v>
      </c>
      <c r="I806" s="24" t="str">
        <f>IFERROR(__xludf.DUMMYFUNCTION("""COMPUTED_VALUE"""),"Ciências Humanas")</f>
        <v>Ciências Humanas</v>
      </c>
    </row>
    <row r="807">
      <c r="A807" s="24" t="str">
        <f>IFERROR(__xludf.DUMMYFUNCTION("""COMPUTED_VALUE"""),"Saberes e Sabores do Semiárido Cearense: O que a Sociedade espera da Universidade?")</f>
        <v>Saberes e Sabores do Semiárido Cearense: O que a Sociedade espera da Universidade?</v>
      </c>
      <c r="B807" s="24" t="str">
        <f>IFERROR(__xludf.DUMMYFUNCTION("""COMPUTED_VALUE"""),"Maristela Inês Osawa Vasconcelos, Maria Socorro de Araújo Dias, Cibelly Aliny Siqueira Lima Freitas")</f>
        <v>Maristela Inês Osawa Vasconcelos, Maria Socorro de Araújo Dias, Cibelly Aliny Siqueira Lima Freitas</v>
      </c>
      <c r="C807" s="24" t="str">
        <f>IFERROR(__xludf.DUMMYFUNCTION("""COMPUTED_VALUE"""),"Sobral")</f>
        <v>Sobral</v>
      </c>
      <c r="D807" s="24" t="str">
        <f>IFERROR(__xludf.DUMMYFUNCTION("""COMPUTED_VALUE"""),"Edições UVA")</f>
        <v>Edições UVA</v>
      </c>
      <c r="E807" s="25">
        <f>IFERROR(__xludf.DUMMYFUNCTION("""COMPUTED_VALUE"""),2016.0)</f>
        <v>2016</v>
      </c>
      <c r="F807" s="24" t="str">
        <f>IFERROR(__xludf.DUMMYFUNCTION("""COMPUTED_VALUE"""),"Encontro Universitário, Semana Nacional de Ciência; e Tecnologia, Pró-reitoria de Extensão e Cultura")</f>
        <v>Encontro Universitário, Semana Nacional de Ciência; e Tecnologia, Pró-reitoria de Extensão e Cultura</v>
      </c>
      <c r="G807" s="28" t="str">
        <f>IFERROR(__xludf.DUMMYFUNCTION("""COMPUTED_VALUE"""),"9788587906991")</f>
        <v>9788587906991</v>
      </c>
      <c r="H807" s="29" t="str">
        <f>IFERROR(__xludf.DUMMYFUNCTION("""COMPUTED_VALUE"""),"http://www.uvanet.br/edicoes_uva/gera_xml.php?arquivo=saberes_sabores")</f>
        <v>http://www.uvanet.br/edicoes_uva/gera_xml.php?arquivo=saberes_sabores</v>
      </c>
      <c r="I807" s="24" t="str">
        <f>IFERROR(__xludf.DUMMYFUNCTION("""COMPUTED_VALUE"""),"Ciências Humanas")</f>
        <v>Ciências Humanas</v>
      </c>
    </row>
    <row r="808">
      <c r="A808" s="24" t="str">
        <f>IFERROR(__xludf.DUMMYFUNCTION("""COMPUTED_VALUE"""),"Saberes em construção: experiências coletivas de sem terra e a Universidade Federal da Grande Dourados")</f>
        <v>Saberes em construção: experiências coletivas de sem terra e a Universidade Federal da Grande Dourados</v>
      </c>
      <c r="B808" s="24" t="str">
        <f>IFERROR(__xludf.DUMMYFUNCTION("""COMPUTED_VALUE"""),"Alzira Salete Menegat, Marisa de Fátima Lomba Farias, Walter Roberto Marschner, (org.)")</f>
        <v>Alzira Salete Menegat, Marisa de Fátima Lomba Farias, Walter Roberto Marschner, (org.)</v>
      </c>
      <c r="C808" s="24" t="str">
        <f>IFERROR(__xludf.DUMMYFUNCTION("""COMPUTED_VALUE"""),"Dourados, MS")</f>
        <v>Dourados, MS</v>
      </c>
      <c r="D808" s="24" t="str">
        <f>IFERROR(__xludf.DUMMYFUNCTION("""COMPUTED_VALUE"""),"Editora da UFGD")</f>
        <v>Editora da UFGD</v>
      </c>
      <c r="E808" s="25">
        <f>IFERROR(__xludf.DUMMYFUNCTION("""COMPUTED_VALUE"""),2009.0)</f>
        <v>2009</v>
      </c>
      <c r="F808" s="24" t="str">
        <f>IFERROR(__xludf.DUMMYFUNCTION("""COMPUTED_VALUE"""),"Ensino superior - Ciências sociais - Dourados, MS; Universidade Federal da Grande Dourados; Ensino superior para Trabalhadores Rurais Sem-Terra; Inclusão em educação")</f>
        <v>Ensino superior - Ciências sociais - Dourados, MS; Universidade Federal da Grande Dourados; Ensino superior para Trabalhadores Rurais Sem-Terra; Inclusão em educação</v>
      </c>
      <c r="G808" s="28" t="str">
        <f>IFERROR(__xludf.DUMMYFUNCTION("""COMPUTED_VALUE"""),"9788561228569")</f>
        <v>9788561228569</v>
      </c>
      <c r="H808" s="29" t="str">
        <f>IFERROR(__xludf.DUMMYFUNCTION("""COMPUTED_VALUE"""),"http://omp.ufgd.edu.br/omp/index.php/livrosabertos/catalog/view/52/52/134-1")</f>
        <v>http://omp.ufgd.edu.br/omp/index.php/livrosabertos/catalog/view/52/52/134-1</v>
      </c>
      <c r="I808" s="24" t="str">
        <f>IFERROR(__xludf.DUMMYFUNCTION("""COMPUTED_VALUE"""),"Ciências Humanas")</f>
        <v>Ciências Humanas</v>
      </c>
    </row>
    <row r="809">
      <c r="A809" s="24" t="str">
        <f>IFERROR(__xludf.DUMMYFUNCTION("""COMPUTED_VALUE"""),"Saberes, sociabilidades, formas organizacionais e territorialidades entre os Kaiowá e os Guarani em Mato Grosso do Sul.")</f>
        <v>Saberes, sociabilidades, formas organizacionais e territorialidades entre os Kaiowá e os Guarani em Mato Grosso do Sul.</v>
      </c>
      <c r="B809" s="24" t="str">
        <f>IFERROR(__xludf.DUMMYFUNCTION("""COMPUTED_VALUE"""),"organizado por Levi Marques Pereira, Célia Foster Silvestre, Diógenes Egídio Cariaga")</f>
        <v>organizado por Levi Marques Pereira, Célia Foster Silvestre, Diógenes Egídio Cariaga</v>
      </c>
      <c r="C809" s="24" t="str">
        <f>IFERROR(__xludf.DUMMYFUNCTION("""COMPUTED_VALUE"""),"Dourados, MS")</f>
        <v>Dourados, MS</v>
      </c>
      <c r="D809" s="24" t="str">
        <f>IFERROR(__xludf.DUMMYFUNCTION("""COMPUTED_VALUE"""),"Ed. da UFGD")</f>
        <v>Ed. da UFGD</v>
      </c>
      <c r="E809" s="25">
        <f>IFERROR(__xludf.DUMMYFUNCTION("""COMPUTED_VALUE"""),2018.0)</f>
        <v>2018</v>
      </c>
      <c r="F809" s="24" t="str">
        <f>IFERROR(__xludf.DUMMYFUNCTION("""COMPUTED_VALUE"""),"Kaiowá e Guarani; Conhecimentos indígenas; Sociabilidades indígenas")</f>
        <v>Kaiowá e Guarani; Conhecimentos indígenas; Sociabilidades indígenas</v>
      </c>
      <c r="G809" s="28" t="str">
        <f>IFERROR(__xludf.DUMMYFUNCTION("""COMPUTED_VALUE"""),"9788581471457")</f>
        <v>9788581471457</v>
      </c>
      <c r="H809" s="29" t="str">
        <f>IFERROR(__xludf.DUMMYFUNCTION("""COMPUTED_VALUE"""),"http://omp.ufgd.edu.br/omp/index.php/livrosabertos/catalog/view/51/51/132-1")</f>
        <v>http://omp.ufgd.edu.br/omp/index.php/livrosabertos/catalog/view/51/51/132-1</v>
      </c>
      <c r="I809" s="24" t="str">
        <f>IFERROR(__xludf.DUMMYFUNCTION("""COMPUTED_VALUE"""),"Ciências Humanas")</f>
        <v>Ciências Humanas</v>
      </c>
    </row>
    <row r="810">
      <c r="A810" s="24" t="str">
        <f>IFERROR(__xludf.DUMMYFUNCTION("""COMPUTED_VALUE"""),"Salas abertas: Formação de Professores e Práticas Pedagógicas em Comunicação Alternativa e Ampliada nas Salas de Recursos Multifuncionais")</f>
        <v>Salas abertas: Formação de Professores e Práticas Pedagógicas em Comunicação Alternativa e Ampliada nas Salas de Recursos Multifuncionais</v>
      </c>
      <c r="B810" s="24" t="str">
        <f>IFERROR(__xludf.DUMMYFUNCTION("""COMPUTED_VALUE"""),"Leila Regina de O. Paula Nunes, Carolina Rizzotto Schirmer (Orgs.)")</f>
        <v>Leila Regina de O. Paula Nunes, Carolina Rizzotto Schirmer (Orgs.)</v>
      </c>
      <c r="C810" s="24" t="str">
        <f>IFERROR(__xludf.DUMMYFUNCTION("""COMPUTED_VALUE"""),"Rio de Janeiro")</f>
        <v>Rio de Janeiro</v>
      </c>
      <c r="D810" s="24" t="str">
        <f>IFERROR(__xludf.DUMMYFUNCTION("""COMPUTED_VALUE"""),"EdUERJ")</f>
        <v>EdUERJ</v>
      </c>
      <c r="E810" s="25">
        <f>IFERROR(__xludf.DUMMYFUNCTION("""COMPUTED_VALUE"""),2017.0)</f>
        <v>2017</v>
      </c>
      <c r="F810" s="24" t="str">
        <f>IFERROR(__xludf.DUMMYFUNCTION("""COMPUTED_VALUE"""),"Educação; Prática de ensino; Professores; Formação de professores")</f>
        <v>Educação; Prática de ensino; Professores; Formação de professores</v>
      </c>
      <c r="G810" s="28" t="str">
        <f>IFERROR(__xludf.DUMMYFUNCTION("""COMPUTED_VALUE"""),"9788575114520")</f>
        <v>9788575114520</v>
      </c>
      <c r="H810" s="29" t="str">
        <f>IFERROR(__xludf.DUMMYFUNCTION("""COMPUTED_VALUE"""),"https://www.eduerj.com/eng/?product=salas-abertas-formacao-de-professores-e-praticas-pedagogicas-em-comunicacao-alternativa-e-ampliada-nas-salas-de-recursos-multifuncionais")</f>
        <v>https://www.eduerj.com/eng/?product=salas-abertas-formacao-de-professores-e-praticas-pedagogicas-em-comunicacao-alternativa-e-ampliada-nas-salas-de-recursos-multifuncionais</v>
      </c>
      <c r="I810" s="24" t="str">
        <f>IFERROR(__xludf.DUMMYFUNCTION("""COMPUTED_VALUE"""),"Ciências Humanas")</f>
        <v>Ciências Humanas</v>
      </c>
    </row>
    <row r="811">
      <c r="A811" s="24" t="str">
        <f>IFERROR(__xludf.DUMMYFUNCTION("""COMPUTED_VALUE"""),"Sartre e a psicologia clínica")</f>
        <v>Sartre e a psicologia clínica</v>
      </c>
      <c r="B811" s="24" t="str">
        <f>IFERROR(__xludf.DUMMYFUNCTION("""COMPUTED_VALUE"""),"Schneider, Daniela Ribeiro")</f>
        <v>Schneider, Daniela Ribeiro</v>
      </c>
      <c r="C811" s="24" t="str">
        <f>IFERROR(__xludf.DUMMYFUNCTION("""COMPUTED_VALUE"""),"Florianópolis")</f>
        <v>Florianópolis</v>
      </c>
      <c r="D811" s="24" t="str">
        <f>IFERROR(__xludf.DUMMYFUNCTION("""COMPUTED_VALUE"""),"Editora da UFSC")</f>
        <v>Editora da UFSC</v>
      </c>
      <c r="E811" s="25">
        <f>IFERROR(__xludf.DUMMYFUNCTION("""COMPUTED_VALUE"""),2911.0)</f>
        <v>2911</v>
      </c>
      <c r="F811" s="24" t="str">
        <f>IFERROR(__xludf.DUMMYFUNCTION("""COMPUTED_VALUE"""),"Filosofia;Psicologia clínica")</f>
        <v>Filosofia;Psicologia clínica</v>
      </c>
      <c r="G811" s="28" t="str">
        <f>IFERROR(__xludf.DUMMYFUNCTION("""COMPUTED_VALUE"""),"9788532805294")</f>
        <v>9788532805294</v>
      </c>
      <c r="H811" s="29" t="str">
        <f>IFERROR(__xludf.DUMMYFUNCTION("""COMPUTED_VALUE"""),"https://repositorio.ufsc.br/handle/123456789/187669")</f>
        <v>https://repositorio.ufsc.br/handle/123456789/187669</v>
      </c>
      <c r="I811" s="24" t="str">
        <f>IFERROR(__xludf.DUMMYFUNCTION("""COMPUTED_VALUE"""),"Ciências Humanas")</f>
        <v>Ciências Humanas</v>
      </c>
    </row>
    <row r="812">
      <c r="A812" s="24" t="str">
        <f>IFERROR(__xludf.DUMMYFUNCTION("""COMPUTED_VALUE"""),"Sem Vieira nem Pombal: índios na Amazônia do século XIX")</f>
        <v>Sem Vieira nem Pombal: índios na Amazônia do século XIX</v>
      </c>
      <c r="B812" s="24" t="str">
        <f>IFERROR(__xludf.DUMMYFUNCTION("""COMPUTED_VALUE"""),"Márcio Couto Henrique (Organização)")</f>
        <v>Márcio Couto Henrique (Organização)</v>
      </c>
      <c r="C812" s="24" t="str">
        <f>IFERROR(__xludf.DUMMYFUNCTION("""COMPUTED_VALUE"""),"Rio de Janeiro")</f>
        <v>Rio de Janeiro</v>
      </c>
      <c r="D812" s="24" t="str">
        <f>IFERROR(__xludf.DUMMYFUNCTION("""COMPUTED_VALUE"""),"EdUERJ")</f>
        <v>EdUERJ</v>
      </c>
      <c r="E812" s="25">
        <f>IFERROR(__xludf.DUMMYFUNCTION("""COMPUTED_VALUE"""),2018.0)</f>
        <v>2018</v>
      </c>
      <c r="F812" s="24" t="str">
        <f>IFERROR(__xludf.DUMMYFUNCTION("""COMPUTED_VALUE"""),"Índios da América do Sul; Índios; Brasil;História")</f>
        <v>Índios da América do Sul; Índios; Brasil;História</v>
      </c>
      <c r="G812" s="28" t="str">
        <f>IFERROR(__xludf.DUMMYFUNCTION("""COMPUTED_VALUE"""),"9788575114636")</f>
        <v>9788575114636</v>
      </c>
      <c r="H812" s="29" t="str">
        <f>IFERROR(__xludf.DUMMYFUNCTION("""COMPUTED_VALUE"""),"https://www.eduerj.com/eng/?product=sem-vieira-nem-pombal-indios-na-amazonia-do-seculo-xix-ebook")</f>
        <v>https://www.eduerj.com/eng/?product=sem-vieira-nem-pombal-indios-na-amazonia-do-seculo-xix-ebook</v>
      </c>
      <c r="I812" s="24" t="str">
        <f>IFERROR(__xludf.DUMMYFUNCTION("""COMPUTED_VALUE"""),"Ciências Humanas")</f>
        <v>Ciências Humanas</v>
      </c>
    </row>
    <row r="813">
      <c r="A813" s="24" t="str">
        <f>IFERROR(__xludf.DUMMYFUNCTION("""COMPUTED_VALUE"""),"Seminário integrador I")</f>
        <v>Seminário integrador I</v>
      </c>
      <c r="B813" s="24" t="str">
        <f>IFERROR(__xludf.DUMMYFUNCTION("""COMPUTED_VALUE"""),"Silva, Leonardo Alvim Beroldt da; Frohlich, Egon Roque; Adomilli, Gianpaolo Knoller; Machado, Joao Armando Dessimon; Neis, Ignacio Antonio; Abreu, Sabrina Pereira de; Rodrigues, Rosany Schwarz ")</f>
        <v>Silva, Leonardo Alvim Beroldt da; Frohlich, Egon Roque; Adomilli, Gianpaolo Knoller; Machado, Joao Armando Dessimon; Neis, Ignacio Antonio; Abreu, Sabrina Pereira de; Rodrigues, Rosany Schwarz </v>
      </c>
      <c r="C813" s="24" t="str">
        <f>IFERROR(__xludf.DUMMYFUNCTION("""COMPUTED_VALUE"""),"Porto Alegre")</f>
        <v>Porto Alegre</v>
      </c>
      <c r="D813" s="24" t="str">
        <f>IFERROR(__xludf.DUMMYFUNCTION("""COMPUTED_VALUE"""),"UFRGS")</f>
        <v>UFRGS</v>
      </c>
      <c r="E813" s="25">
        <f>IFERROR(__xludf.DUMMYFUNCTION("""COMPUTED_VALUE"""),2009.0)</f>
        <v>2009</v>
      </c>
      <c r="F813" s="24" t="str">
        <f>IFERROR(__xludf.DUMMYFUNCTION("""COMPUTED_VALUE"""),"Desenvolvimento local; Desenvolvimento regional; Desenvolvimento rural; Desenvolvimento social : Agricultura : Brasil; Educação a distância (EaD)")</f>
        <v>Desenvolvimento local; Desenvolvimento regional; Desenvolvimento rural; Desenvolvimento social : Agricultura : Brasil; Educação a distância (EaD)</v>
      </c>
      <c r="G813" s="28" t="str">
        <f>IFERROR(__xludf.DUMMYFUNCTION("""COMPUTED_VALUE"""),"9788538600978")</f>
        <v>9788538600978</v>
      </c>
      <c r="H813" s="29" t="str">
        <f>IFERROR(__xludf.DUMMYFUNCTION("""COMPUTED_VALUE"""),"http://hdl.handle.net/10183/52802")</f>
        <v>http://hdl.handle.net/10183/52802</v>
      </c>
      <c r="I813" s="24" t="str">
        <f>IFERROR(__xludf.DUMMYFUNCTION("""COMPUTED_VALUE"""),"Ciências Humanas")</f>
        <v>Ciências Humanas</v>
      </c>
    </row>
    <row r="814">
      <c r="A814" s="24" t="str">
        <f>IFERROR(__xludf.DUMMYFUNCTION("""COMPUTED_VALUE"""),"Seminário Nacional da Rede MAPA")</f>
        <v>Seminário Nacional da Rede MAPA</v>
      </c>
      <c r="B814" s="24" t="str">
        <f>IFERROR(__xludf.DUMMYFUNCTION("""COMPUTED_VALUE"""),"Elton Luiz Nardi")</f>
        <v>Elton Luiz Nardi</v>
      </c>
      <c r="C814" s="24" t="str">
        <f>IFERROR(__xludf.DUMMYFUNCTION("""COMPUTED_VALUE"""),"Joaçaba")</f>
        <v>Joaçaba</v>
      </c>
      <c r="D814" s="24" t="str">
        <f>IFERROR(__xludf.DUMMYFUNCTION("""COMPUTED_VALUE"""),"Unoesc")</f>
        <v>Unoesc</v>
      </c>
      <c r="E814" s="25">
        <f>IFERROR(__xludf.DUMMYFUNCTION("""COMPUTED_VALUE"""),2017.0)</f>
        <v>2017</v>
      </c>
      <c r="F814" s="24" t="str">
        <f>IFERROR(__xludf.DUMMYFUNCTION("""COMPUTED_VALUE"""),"Educação e estado, Escolas – Organização e Administração, Educação – Municípios")</f>
        <v>Educação e estado, Escolas – Organização e Administração, Educação – Municípios</v>
      </c>
      <c r="G814" s="28" t="str">
        <f>IFERROR(__xludf.DUMMYFUNCTION("""COMPUTED_VALUE"""),"9788584221677")</f>
        <v>9788584221677</v>
      </c>
      <c r="H814" s="29" t="str">
        <f>IFERROR(__xludf.DUMMYFUNCTION("""COMPUTED_VALUE"""),"https://www.unoesc.edu.br/images/uploads/editora/Semin%c3%a1rio_Rede_Mapa.pdf")</f>
        <v>https://www.unoesc.edu.br/images/uploads/editora/Semin%c3%a1rio_Rede_Mapa.pdf</v>
      </c>
      <c r="I814" s="24" t="str">
        <f>IFERROR(__xludf.DUMMYFUNCTION("""COMPUTED_VALUE"""),"Ciências Humanas")</f>
        <v>Ciências Humanas</v>
      </c>
    </row>
    <row r="815">
      <c r="A815" s="24" t="str">
        <f>IFERROR(__xludf.DUMMYFUNCTION("""COMPUTED_VALUE"""),"Sequências didáticas na educação de jovens e adultos")</f>
        <v>Sequências didáticas na educação de jovens e adultos</v>
      </c>
      <c r="B815" s="24" t="str">
        <f>IFERROR(__xludf.DUMMYFUNCTION("""COMPUTED_VALUE"""),"Célia Regina Teixeira")</f>
        <v>Célia Regina Teixeira</v>
      </c>
      <c r="C815" s="24" t="str">
        <f>IFERROR(__xludf.DUMMYFUNCTION("""COMPUTED_VALUE"""),"João Pessoa")</f>
        <v>João Pessoa</v>
      </c>
      <c r="D815" s="24" t="str">
        <f>IFERROR(__xludf.DUMMYFUNCTION("""COMPUTED_VALUE"""),"Editora da UFPB")</f>
        <v>Editora da UFPB</v>
      </c>
      <c r="E815" s="25">
        <f>IFERROR(__xludf.DUMMYFUNCTION("""COMPUTED_VALUE"""),2019.0)</f>
        <v>2019</v>
      </c>
      <c r="F815" s="24" t="str">
        <f>IFERROR(__xludf.DUMMYFUNCTION("""COMPUTED_VALUE"""),"Educação-jovens e adultos. EJA-práticas educacionais. EJA-formação do professor")</f>
        <v>Educação-jovens e adultos. EJA-práticas educacionais. EJA-formação do professor</v>
      </c>
      <c r="G815" s="28" t="str">
        <f>IFERROR(__xludf.DUMMYFUNCTION("""COMPUTED_VALUE"""),"9788523714871")</f>
        <v>9788523714871</v>
      </c>
      <c r="H815" s="29" t="str">
        <f>IFERROR(__xludf.DUMMYFUNCTION("""COMPUTED_VALUE"""),"http://www.editora.ufpb.br/sistema/press5/index.php/UFPB/catalog/book/235")</f>
        <v>http://www.editora.ufpb.br/sistema/press5/index.php/UFPB/catalog/book/235</v>
      </c>
      <c r="I815" s="24" t="str">
        <f>IFERROR(__xludf.DUMMYFUNCTION("""COMPUTED_VALUE"""),"Ciências Humanas")</f>
        <v>Ciências Humanas</v>
      </c>
    </row>
    <row r="816">
      <c r="A816" s="24" t="str">
        <f>IFERROR(__xludf.DUMMYFUNCTION("""COMPUTED_VALUE"""),"Servidor da mesa da Palavra de Deus: estudo teológico-pastoral sobre o ministério do diácono permanente")</f>
        <v>Servidor da mesa da Palavra de Deus: estudo teológico-pastoral sobre o ministério do diácono permanente</v>
      </c>
      <c r="B816" s="24" t="str">
        <f>IFERROR(__xludf.DUMMYFUNCTION("""COMPUTED_VALUE"""),"Julio Cesar Bendinelli")</f>
        <v>Julio Cesar Bendinelli</v>
      </c>
      <c r="C816" s="24" t="str">
        <f>IFERROR(__xludf.DUMMYFUNCTION("""COMPUTED_VALUE"""),"Rio de Janeiro")</f>
        <v>Rio de Janeiro</v>
      </c>
      <c r="D816" s="24" t="str">
        <f>IFERROR(__xludf.DUMMYFUNCTION("""COMPUTED_VALUE"""),"Editora PUC Rio")</f>
        <v>Editora PUC Rio</v>
      </c>
      <c r="E816" s="25">
        <f>IFERROR(__xludf.DUMMYFUNCTION("""COMPUTED_VALUE"""),2018.0)</f>
        <v>2018</v>
      </c>
      <c r="F816" s="24" t="str">
        <f>IFERROR(__xludf.DUMMYFUNCTION("""COMPUTED_VALUE"""),"Teologia. Diácono. Palavra de Deus")</f>
        <v>Teologia. Diácono. Palavra de Deus</v>
      </c>
      <c r="G816" s="28" t="str">
        <f>IFERROR(__xludf.DUMMYFUNCTION("""COMPUTED_VALUE"""),"9788567477305")</f>
        <v>9788567477305</v>
      </c>
      <c r="H816" s="29" t="str">
        <f>IFERROR(__xludf.DUMMYFUNCTION("""COMPUTED_VALUE"""),"http://www.editora.puc-rio.br/media/Servidor%20da%20mesa%20da%20Palavra%20de%20Deus.pdf")</f>
        <v>http://www.editora.puc-rio.br/media/Servidor%20da%20mesa%20da%20Palavra%20de%20Deus.pdf</v>
      </c>
      <c r="I816" s="24" t="str">
        <f>IFERROR(__xludf.DUMMYFUNCTION("""COMPUTED_VALUE"""),"Ciências Humanas")</f>
        <v>Ciências Humanas</v>
      </c>
    </row>
    <row r="817">
      <c r="A817" s="24" t="str">
        <f>IFERROR(__xludf.DUMMYFUNCTION("""COMPUTED_VALUE"""),"Silenciosos e adoráveis alunos")</f>
        <v>Silenciosos e adoráveis alunos</v>
      </c>
      <c r="B817" s="24" t="str">
        <f>IFERROR(__xludf.DUMMYFUNCTION("""COMPUTED_VALUE"""),"Irene Ponciano")</f>
        <v>Irene Ponciano</v>
      </c>
      <c r="C817" s="24" t="str">
        <f>IFERROR(__xludf.DUMMYFUNCTION("""COMPUTED_VALUE"""),"Campina Grande")</f>
        <v>Campina Grande</v>
      </c>
      <c r="D817" s="24" t="str">
        <f>IFERROR(__xludf.DUMMYFUNCTION("""COMPUTED_VALUE"""),"EDUEPB")</f>
        <v>EDUEPB</v>
      </c>
      <c r="E817" s="25">
        <f>IFERROR(__xludf.DUMMYFUNCTION("""COMPUTED_VALUE"""),2019.0)</f>
        <v>2019</v>
      </c>
      <c r="F817" s="24" t="str">
        <f>IFERROR(__xludf.DUMMYFUNCTION("""COMPUTED_VALUE"""),"Surdos - Educação. Educação de surdos. Surdos - Práticas educativas. Educação inclusiva. Educação de surdos - Brasil - História. Língua Brasileira de Sinais (Libras). Surdez - educação especial")</f>
        <v>Surdos - Educação. Educação de surdos. Surdos - Práticas educativas. Educação inclusiva. Educação de surdos - Brasil - História. Língua Brasileira de Sinais (Libras). Surdez - educação especial</v>
      </c>
      <c r="G817" s="28" t="str">
        <f>IFERROR(__xludf.DUMMYFUNCTION("""COMPUTED_VALUE"""),"9788578795221")</f>
        <v>9788578795221</v>
      </c>
      <c r="H817" s="29" t="str">
        <f>IFERROR(__xludf.DUMMYFUNCTION("""COMPUTED_VALUE"""),"http://eduepb.uepb.edu.br/download/silenciosos-e-adoraveis-alunos/?wpdmdl=762&amp;amp;masterkey=5d249550a58f7")</f>
        <v>http://eduepb.uepb.edu.br/download/silenciosos-e-adoraveis-alunos/?wpdmdl=762&amp;amp;masterkey=5d249550a58f7</v>
      </c>
      <c r="I817" s="24" t="str">
        <f>IFERROR(__xludf.DUMMYFUNCTION("""COMPUTED_VALUE"""),"Ciências Humanas")</f>
        <v>Ciências Humanas</v>
      </c>
    </row>
    <row r="818">
      <c r="A818" s="24" t="str">
        <f>IFERROR(__xludf.DUMMYFUNCTION("""COMPUTED_VALUE"""),"Sob os olhos da crítica: reflexões sobre democracia, capitalismo e movimentos sociais")</f>
        <v>Sob os olhos da crítica: reflexões sobre democracia, capitalismo e movimentos sociais</v>
      </c>
      <c r="B818" s="24" t="str">
        <f>IFERROR(__xludf.DUMMYFUNCTION("""COMPUTED_VALUE"""),"Hélio Alexandre da Silva (org.)")</f>
        <v>Hélio Alexandre da Silva (org.)</v>
      </c>
      <c r="C818" s="24" t="str">
        <f>IFERROR(__xludf.DUMMYFUNCTION("""COMPUTED_VALUE"""),"Macapá")</f>
        <v>Macapá</v>
      </c>
      <c r="D818" s="24" t="str">
        <f>IFERROR(__xludf.DUMMYFUNCTION("""COMPUTED_VALUE"""),"UNIFAP")</f>
        <v>UNIFAP</v>
      </c>
      <c r="E818" s="25">
        <f>IFERROR(__xludf.DUMMYFUNCTION("""COMPUTED_VALUE"""),2017.0)</f>
        <v>2017</v>
      </c>
      <c r="F818" s="24" t="str">
        <f>IFERROR(__xludf.DUMMYFUNCTION("""COMPUTED_VALUE"""),"Democracia; Capitalismo; Movimentos Sociais")</f>
        <v>Democracia; Capitalismo; Movimentos Sociais</v>
      </c>
      <c r="G818" s="28" t="str">
        <f>IFERROR(__xludf.DUMMYFUNCTION("""COMPUTED_VALUE"""),"9788562359729")</f>
        <v>9788562359729</v>
      </c>
      <c r="H818" s="29" t="str">
        <f>IFERROR(__xludf.DUMMYFUNCTION("""COMPUTED_VALUE"""),"https://www2.unifap.br/editora/files/2014/12/E-book_Sob_os_olhos_da_critica.pdf")</f>
        <v>https://www2.unifap.br/editora/files/2014/12/E-book_Sob_os_olhos_da_critica.pdf</v>
      </c>
      <c r="I818" s="24" t="str">
        <f>IFERROR(__xludf.DUMMYFUNCTION("""COMPUTED_VALUE"""),"Ciências Humanas")</f>
        <v>Ciências Humanas</v>
      </c>
    </row>
    <row r="819">
      <c r="A819" s="24" t="str">
        <f>IFERROR(__xludf.DUMMYFUNCTION("""COMPUTED_VALUE"""),"Sobre processos civilizadores: diálogos com Norbert Elias ")</f>
        <v>Sobre processos civilizadores: diálogos com Norbert Elias </v>
      </c>
      <c r="B819" s="24" t="str">
        <f>IFERROR(__xludf.DUMMYFUNCTION("""COMPUTED_VALUE"""),"Magda Sarat, Reinaldo dos Santos (org.)")</f>
        <v>Magda Sarat, Reinaldo dos Santos (org.)</v>
      </c>
      <c r="C819" s="24" t="str">
        <f>IFERROR(__xludf.DUMMYFUNCTION("""COMPUTED_VALUE"""),"Dourados, MS")</f>
        <v>Dourados, MS</v>
      </c>
      <c r="D819" s="24" t="str">
        <f>IFERROR(__xludf.DUMMYFUNCTION("""COMPUTED_VALUE"""),"Ed. da UFGD")</f>
        <v>Ed. da UFGD</v>
      </c>
      <c r="E819" s="25">
        <f>IFERROR(__xludf.DUMMYFUNCTION("""COMPUTED_VALUE"""),2012.0)</f>
        <v>2012</v>
      </c>
      <c r="F819" s="24" t="str">
        <f>IFERROR(__xludf.DUMMYFUNCTION("""COMPUTED_VALUE"""),"Civilização – Aspectos educacionais; Processos civilizadores; Educação")</f>
        <v>Civilização – Aspectos educacionais; Processos civilizadores; Educação</v>
      </c>
      <c r="G819" s="28" t="str">
        <f>IFERROR(__xludf.DUMMYFUNCTION("""COMPUTED_VALUE"""),"9788581470252")</f>
        <v>9788581470252</v>
      </c>
      <c r="H819" s="29" t="str">
        <f>IFERROR(__xludf.DUMMYFUNCTION("""COMPUTED_VALUE"""),"http://omp.ufgd.edu.br/omp/index.php/livrosabertos/catalog/view/48/48/126-1")</f>
        <v>http://omp.ufgd.edu.br/omp/index.php/livrosabertos/catalog/view/48/48/126-1</v>
      </c>
      <c r="I819" s="24" t="str">
        <f>IFERROR(__xludf.DUMMYFUNCTION("""COMPUTED_VALUE"""),"Ciências Humanas")</f>
        <v>Ciências Humanas</v>
      </c>
    </row>
    <row r="820">
      <c r="A820" s="24" t="str">
        <f>IFERROR(__xludf.DUMMYFUNCTION("""COMPUTED_VALUE"""),"Sociedade : Natureza: compartilhando ideias, desenvolvendo sensibilidades")</f>
        <v>Sociedade : Natureza: compartilhando ideias, desenvolvendo sensibilidades</v>
      </c>
      <c r="B820" s="24" t="str">
        <f>IFERROR(__xludf.DUMMYFUNCTION("""COMPUTED_VALUE"""),"Sérgio Luiz Malta de Azevedo; Luiz Eugênio Pereira Carvalho; Josandra Araújo Barreto de Melo (org.)")</f>
        <v>Sérgio Luiz Malta de Azevedo; Luiz Eugênio Pereira Carvalho; Josandra Araújo Barreto de Melo (org.)</v>
      </c>
      <c r="C820" s="24" t="str">
        <f>IFERROR(__xludf.DUMMYFUNCTION("""COMPUTED_VALUE"""),"Campina Grande")</f>
        <v>Campina Grande</v>
      </c>
      <c r="D820" s="24" t="str">
        <f>IFERROR(__xludf.DUMMYFUNCTION("""COMPUTED_VALUE"""),"EDUEPB")</f>
        <v>EDUEPB</v>
      </c>
      <c r="E820" s="25">
        <f>IFERROR(__xludf.DUMMYFUNCTION("""COMPUTED_VALUE"""),2019.0)</f>
        <v>2019</v>
      </c>
      <c r="F820" s="24" t="str">
        <f>IFERROR(__xludf.DUMMYFUNCTION("""COMPUTED_VALUE"""),"Sociedade. Natureza. Geografia. Ecologia Humana. Literatura. Linguagens. Interdisciplinaridade")</f>
        <v>Sociedade. Natureza. Geografia. Ecologia Humana. Literatura. Linguagens. Interdisciplinaridade</v>
      </c>
      <c r="G820" s="28" t="str">
        <f>IFERROR(__xludf.DUMMYFUNCTION("""COMPUTED_VALUE"""),"9788578795283")</f>
        <v>9788578795283</v>
      </c>
      <c r="H820" s="29" t="str">
        <f>IFERROR(__xludf.DUMMYFUNCTION("""COMPUTED_VALUE"""),"http://eduepb.uepb.edu.br/download/sociedade-natureza-compartilhando-ideias-desenvolvendo-sensibilidades/?wpdmdl=903&amp;#038;masterkey=5ddec4ab57fa0")</f>
        <v>http://eduepb.uepb.edu.br/download/sociedade-natureza-compartilhando-ideias-desenvolvendo-sensibilidades/?wpdmdl=903&amp;#038;masterkey=5ddec4ab57fa0</v>
      </c>
      <c r="I820" s="24" t="str">
        <f>IFERROR(__xludf.DUMMYFUNCTION("""COMPUTED_VALUE"""),"Ciências Humanas")</f>
        <v>Ciências Humanas</v>
      </c>
    </row>
    <row r="821">
      <c r="A821" s="24" t="str">
        <f>IFERROR(__xludf.DUMMYFUNCTION("""COMPUTED_VALUE"""),"Sociedade e Cultura Sustentável: Práticas de Ensino, Pesquisa e Extensão")</f>
        <v>Sociedade e Cultura Sustentável: Práticas de Ensino, Pesquisa e Extensão</v>
      </c>
      <c r="B821" s="24" t="str">
        <f>IFERROR(__xludf.DUMMYFUNCTION("""COMPUTED_VALUE"""),"organizador Dimas Brasileiro Veras")</f>
        <v>organizador Dimas Brasileiro Veras</v>
      </c>
      <c r="C821" s="24" t="str">
        <f>IFERROR(__xludf.DUMMYFUNCTION("""COMPUTED_VALUE"""),"João Pessoa")</f>
        <v>João Pessoa</v>
      </c>
      <c r="D821" s="24" t="str">
        <f>IFERROR(__xludf.DUMMYFUNCTION("""COMPUTED_VALUE"""),"Editora IFPB")</f>
        <v>Editora IFPB</v>
      </c>
      <c r="E821" s="25">
        <f>IFERROR(__xludf.DUMMYFUNCTION("""COMPUTED_VALUE"""),2016.0)</f>
        <v>2016</v>
      </c>
      <c r="F821" s="24" t="str">
        <f>IFERROR(__xludf.DUMMYFUNCTION("""COMPUTED_VALUE"""),"Desenvolvimento sustentável – Monteiro/PB; Sociedade sustentável; Cultura sustentável; Política pública")</f>
        <v>Desenvolvimento sustentável – Monteiro/PB; Sociedade sustentável; Cultura sustentável; Política pública</v>
      </c>
      <c r="G821" s="28" t="str">
        <f>IFERROR(__xludf.DUMMYFUNCTION("""COMPUTED_VALUE"""),"9788563406804")</f>
        <v>9788563406804</v>
      </c>
      <c r="H821" s="29" t="str">
        <f>IFERROR(__xludf.DUMMYFUNCTION("""COMPUTED_VALUE"""),"http://editora.ifpb.edu.br/index.php/ifpb/catalog/book/52")</f>
        <v>http://editora.ifpb.edu.br/index.php/ifpb/catalog/book/52</v>
      </c>
      <c r="I821" s="24" t="str">
        <f>IFERROR(__xludf.DUMMYFUNCTION("""COMPUTED_VALUE"""),"Ciências Humanas")</f>
        <v>Ciências Humanas</v>
      </c>
    </row>
    <row r="822">
      <c r="A822" s="24" t="str">
        <f>IFERROR(__xludf.DUMMYFUNCTION("""COMPUTED_VALUE"""),"Sociedade e saberes na Amazônia ")</f>
        <v>Sociedade e saberes na Amazônia </v>
      </c>
      <c r="B822" s="24" t="str">
        <f>IFERROR(__xludf.DUMMYFUNCTION("""COMPUTED_VALUE"""),"Josebel Akel Fares, Marco Antônio Camelo, Paulo Murilo Guerreiro do Amaral (org.)")</f>
        <v>Josebel Akel Fares, Marco Antônio Camelo, Paulo Murilo Guerreiro do Amaral (org.)</v>
      </c>
      <c r="C822" s="24" t="str">
        <f>IFERROR(__xludf.DUMMYFUNCTION("""COMPUTED_VALUE"""),"Belém")</f>
        <v>Belém</v>
      </c>
      <c r="D822" s="24" t="str">
        <f>IFERROR(__xludf.DUMMYFUNCTION("""COMPUTED_VALUE"""),"UEPA")</f>
        <v>UEPA</v>
      </c>
      <c r="E822" s="25">
        <f>IFERROR(__xludf.DUMMYFUNCTION("""COMPUTED_VALUE"""),2018.0)</f>
        <v>2018</v>
      </c>
      <c r="F822" s="24" t="str">
        <f>IFERROR(__xludf.DUMMYFUNCTION("""COMPUTED_VALUE"""),"Saberes e práticas - Amazônia; Prática de ensino - Amazônia; Educação popular")</f>
        <v>Saberes e práticas - Amazônia; Prática de ensino - Amazônia; Educação popular</v>
      </c>
      <c r="G822" s="28" t="str">
        <f>IFERROR(__xludf.DUMMYFUNCTION("""COMPUTED_VALUE"""),"9788584580378")</f>
        <v>9788584580378</v>
      </c>
      <c r="H822" s="29" t="str">
        <f>IFERROR(__xludf.DUMMYFUNCTION("""COMPUTED_VALUE"""),"https://paginas.uepa.br/eduepa/wp-content/uploads/2019/06/SOCIEDADES-E-SABERES-DA-AMAZONIA.pdf")</f>
        <v>https://paginas.uepa.br/eduepa/wp-content/uploads/2019/06/SOCIEDADES-E-SABERES-DA-AMAZONIA.pdf</v>
      </c>
      <c r="I822" s="24" t="str">
        <f>IFERROR(__xludf.DUMMYFUNCTION("""COMPUTED_VALUE"""),"Ciências Humanas")</f>
        <v>Ciências Humanas</v>
      </c>
    </row>
    <row r="823">
      <c r="A823" s="24" t="str">
        <f>IFERROR(__xludf.DUMMYFUNCTION("""COMPUTED_VALUE"""),"Sociedade, conhecimentos e colonialidade: olhares sobre a América Latina")</f>
        <v>Sociedade, conhecimentos e colonialidade: olhares sobre a América Latina</v>
      </c>
      <c r="B823" s="24" t="str">
        <f>IFERROR(__xludf.DUMMYFUNCTION("""COMPUTED_VALUE"""),"Corrêa, Maíra Baumgarten ")</f>
        <v>Corrêa, Maíra Baumgarten </v>
      </c>
      <c r="C823" s="24" t="str">
        <f>IFERROR(__xludf.DUMMYFUNCTION("""COMPUTED_VALUE"""),"Porto Alegre")</f>
        <v>Porto Alegre</v>
      </c>
      <c r="D823" s="24" t="str">
        <f>IFERROR(__xludf.DUMMYFUNCTION("""COMPUTED_VALUE"""),"UFRGS")</f>
        <v>UFRGS</v>
      </c>
      <c r="E823" s="25">
        <f>IFERROR(__xludf.DUMMYFUNCTION("""COMPUTED_VALUE"""),2016.0)</f>
        <v>2016</v>
      </c>
      <c r="F823" s="24" t="str">
        <f>IFERROR(__xludf.DUMMYFUNCTION("""COMPUTED_VALUE"""),"América Latina; Colonialidade; Democracia : América Latina; Desenvolvimento social; Inclusão social; Sociedade; Sociologia do desenvolvimento")</f>
        <v>América Latina; Colonialidade; Democracia : América Latina; Desenvolvimento social; Inclusão social; Sociedade; Sociologia do desenvolvimento</v>
      </c>
      <c r="G823" s="28" t="str">
        <f>IFERROR(__xludf.DUMMYFUNCTION("""COMPUTED_VALUE"""),"9788538603245")</f>
        <v>9788538603245</v>
      </c>
      <c r="H823" s="29" t="str">
        <f>IFERROR(__xludf.DUMMYFUNCTION("""COMPUTED_VALUE"""),"http://hdl.handle.net/10183/213312")</f>
        <v>http://hdl.handle.net/10183/213312</v>
      </c>
      <c r="I823" s="24" t="str">
        <f>IFERROR(__xludf.DUMMYFUNCTION("""COMPUTED_VALUE"""),"Ciências Humanas")</f>
        <v>Ciências Humanas</v>
      </c>
    </row>
    <row r="824">
      <c r="A824" s="24" t="str">
        <f>IFERROR(__xludf.DUMMYFUNCTION("""COMPUTED_VALUE"""),"Sociologia da educação: currículo e saberes escolares")</f>
        <v>Sociologia da educação: currículo e saberes escolares</v>
      </c>
      <c r="B824" s="24" t="str">
        <f>IFERROR(__xludf.DUMMYFUNCTION("""COMPUTED_VALUE"""),"Valle, Ione Ribeiro")</f>
        <v>Valle, Ione Ribeiro</v>
      </c>
      <c r="C824" s="24" t="str">
        <f>IFERROR(__xludf.DUMMYFUNCTION("""COMPUTED_VALUE"""),"Florianópolis")</f>
        <v>Florianópolis</v>
      </c>
      <c r="D824" s="24" t="str">
        <f>IFERROR(__xludf.DUMMYFUNCTION("""COMPUTED_VALUE"""),"Editora da UFSC")</f>
        <v>Editora da UFSC</v>
      </c>
      <c r="E824" s="25">
        <f>IFERROR(__xludf.DUMMYFUNCTION("""COMPUTED_VALUE"""),2014.0)</f>
        <v>2014</v>
      </c>
      <c r="F824" s="24" t="str">
        <f>IFERROR(__xludf.DUMMYFUNCTION("""COMPUTED_VALUE"""),"Educação;Sociologia educacional;Didática")</f>
        <v>Educação;Sociologia educacional;Didática</v>
      </c>
      <c r="G824" s="28" t="str">
        <f>IFERROR(__xludf.DUMMYFUNCTION("""COMPUTED_VALUE"""),"9788532806734")</f>
        <v>9788532806734</v>
      </c>
      <c r="H824" s="29" t="str">
        <f>IFERROR(__xludf.DUMMYFUNCTION("""COMPUTED_VALUE"""),"https://repositorio.ufsc.br/handle/123456789/187672")</f>
        <v>https://repositorio.ufsc.br/handle/123456789/187672</v>
      </c>
      <c r="I824" s="24" t="str">
        <f>IFERROR(__xludf.DUMMYFUNCTION("""COMPUTED_VALUE"""),"Ciências Humanas")</f>
        <v>Ciências Humanas</v>
      </c>
    </row>
    <row r="825">
      <c r="A825" s="24" t="str">
        <f>IFERROR(__xludf.DUMMYFUNCTION("""COMPUTED_VALUE"""),"Sois como deuses: textos de teologia &amp; literatura")</f>
        <v>Sois como deuses: textos de teologia &amp; literatura</v>
      </c>
      <c r="B825" s="24" t="str">
        <f>IFERROR(__xludf.DUMMYFUNCTION("""COMPUTED_VALUE"""),"(org.) Salma Ferraz, Jérri Roberto Marin e Raphael Novaresi Leopoldo")</f>
        <v>(org.) Salma Ferraz, Jérri Roberto Marin e Raphael Novaresi Leopoldo</v>
      </c>
      <c r="C825" s="24" t="str">
        <f>IFERROR(__xludf.DUMMYFUNCTION("""COMPUTED_VALUE"""),"Dourados, MS")</f>
        <v>Dourados, MS</v>
      </c>
      <c r="D825" s="24" t="str">
        <f>IFERROR(__xludf.DUMMYFUNCTION("""COMPUTED_VALUE"""),"Ed. da UFGD")</f>
        <v>Ed. da UFGD</v>
      </c>
      <c r="E825" s="25">
        <f>IFERROR(__xludf.DUMMYFUNCTION("""COMPUTED_VALUE"""),2013.0)</f>
        <v>2013</v>
      </c>
      <c r="F825" s="24" t="str">
        <f>IFERROR(__xludf.DUMMYFUNCTION("""COMPUTED_VALUE"""),"Bíblia – Crítica; Literatura – Crítica; Religião")</f>
        <v>Bíblia – Crítica; Literatura – Crítica; Religião</v>
      </c>
      <c r="G825" s="28" t="str">
        <f>IFERROR(__xludf.DUMMYFUNCTION("""COMPUTED_VALUE"""),"9788581470436")</f>
        <v>9788581470436</v>
      </c>
      <c r="H825" s="29" t="str">
        <f>IFERROR(__xludf.DUMMYFUNCTION("""COMPUTED_VALUE"""),"http://omp.ufgd.edu.br/omp/index.php/livrosabertos/catalog/view/47/47/123-2")</f>
        <v>http://omp.ufgd.edu.br/omp/index.php/livrosabertos/catalog/view/47/47/123-2</v>
      </c>
      <c r="I825" s="24" t="str">
        <f>IFERROR(__xludf.DUMMYFUNCTION("""COMPUTED_VALUE"""),"Ciências Humanas")</f>
        <v>Ciências Humanas</v>
      </c>
    </row>
    <row r="826">
      <c r="A826" s="24" t="str">
        <f>IFERROR(__xludf.DUMMYFUNCTION("""COMPUTED_VALUE"""),"Solo de trombone (ditos &amp; feitos de Alberto Hoisel)")</f>
        <v>Solo de trombone (ditos &amp; feitos de Alberto Hoisel)</v>
      </c>
      <c r="B826" s="24" t="str">
        <f>IFERROR(__xludf.DUMMYFUNCTION("""COMPUTED_VALUE"""),"Antônio Lopes")</f>
        <v>Antônio Lopes</v>
      </c>
      <c r="C826" s="24" t="str">
        <f>IFERROR(__xludf.DUMMYFUNCTION("""COMPUTED_VALUE"""),"Itabuna")</f>
        <v>Itabuna</v>
      </c>
      <c r="D826" s="24" t="str">
        <f>IFERROR(__xludf.DUMMYFUNCTION("""COMPUTED_VALUE"""),"Agora Editoria Gráfica Ltda")</f>
        <v>Agora Editoria Gráfica Ltda</v>
      </c>
      <c r="E826" s="25">
        <f>IFERROR(__xludf.DUMMYFUNCTION("""COMPUTED_VALUE"""),2000.0)</f>
        <v>2000</v>
      </c>
      <c r="F826" s="24"/>
      <c r="G826" s="26"/>
      <c r="H826" s="29" t="str">
        <f>IFERROR(__xludf.DUMMYFUNCTION("""COMPUTED_VALUE"""),"http://www.uesc.br/editora/livrosdigitais/solo_trombone.pdf")</f>
        <v>http://www.uesc.br/editora/livrosdigitais/solo_trombone.pdf</v>
      </c>
      <c r="I826" s="24" t="str">
        <f>IFERROR(__xludf.DUMMYFUNCTION("""COMPUTED_VALUE"""),"Ciências Humanas")</f>
        <v>Ciências Humanas</v>
      </c>
    </row>
    <row r="827">
      <c r="A827" s="24" t="str">
        <f>IFERROR(__xludf.DUMMYFUNCTION("""COMPUTED_VALUE"""),"Spinoza e nós (vol. 1)")</f>
        <v>Spinoza e nós (vol. 1)</v>
      </c>
      <c r="B827" s="24" t="str">
        <f>IFERROR(__xludf.DUMMYFUNCTION("""COMPUTED_VALUE"""),"organizadores; Rafael Cataneo Becker; Emanuel Angelo da Rocha Fragoso; Francisco de Guimaraens; Ericka Marie Itokazu; Maurício Rocha")</f>
        <v>organizadores; Rafael Cataneo Becker; Emanuel Angelo da Rocha Fragoso; Francisco de Guimaraens; Ericka Marie Itokazu; Maurício Rocha</v>
      </c>
      <c r="C827" s="24" t="str">
        <f>IFERROR(__xludf.DUMMYFUNCTION("""COMPUTED_VALUE"""),"Rio de Janeiro")</f>
        <v>Rio de Janeiro</v>
      </c>
      <c r="D827" s="24" t="str">
        <f>IFERROR(__xludf.DUMMYFUNCTION("""COMPUTED_VALUE"""),"Editora PUC Rio")</f>
        <v>Editora PUC Rio</v>
      </c>
      <c r="E827" s="25">
        <f>IFERROR(__xludf.DUMMYFUNCTION("""COMPUTED_VALUE"""),2017.0)</f>
        <v>2017</v>
      </c>
      <c r="F827" s="24" t="str">
        <f>IFERROR(__xludf.DUMMYFUNCTION("""COMPUTED_VALUE"""),"Spinoza, Benedictus de, 1632-1677. Filosofia moderna")</f>
        <v>Spinoza, Benedictus de, 1632-1677. Filosofia moderna</v>
      </c>
      <c r="G827" s="28" t="str">
        <f>IFERROR(__xludf.DUMMYFUNCTION("""COMPUTED_VALUE"""),"9788580062182")</f>
        <v>9788580062182</v>
      </c>
      <c r="H827" s="29" t="str">
        <f>IFERROR(__xludf.DUMMYFUNCTION("""COMPUTED_VALUE"""),"http://www.editora.puc-rio.br/media/Spinoza%20-%20vol1.pdf")</f>
        <v>http://www.editora.puc-rio.br/media/Spinoza%20-%20vol1.pdf</v>
      </c>
      <c r="I827" s="24" t="str">
        <f>IFERROR(__xludf.DUMMYFUNCTION("""COMPUTED_VALUE"""),"Ciências Humanas")</f>
        <v>Ciências Humanas</v>
      </c>
    </row>
    <row r="828">
      <c r="A828" s="24" t="str">
        <f>IFERROR(__xludf.DUMMYFUNCTION("""COMPUTED_VALUE"""),"Spinoza e nós (vol. 2)")</f>
        <v>Spinoza e nós (vol. 2)</v>
      </c>
      <c r="B828" s="24" t="str">
        <f>IFERROR(__xludf.DUMMYFUNCTION("""COMPUTED_VALUE"""),"organizadores; Rafael Cataneo Becker; Emanuel Angelo da Rocha Fragoso; Francisco de Guimaraens; Ericka Marie Itokazu; Maurício Rocha")</f>
        <v>organizadores; Rafael Cataneo Becker; Emanuel Angelo da Rocha Fragoso; Francisco de Guimaraens; Ericka Marie Itokazu; Maurício Rocha</v>
      </c>
      <c r="C828" s="24" t="str">
        <f>IFERROR(__xludf.DUMMYFUNCTION("""COMPUTED_VALUE"""),"Rio de Janeiro")</f>
        <v>Rio de Janeiro</v>
      </c>
      <c r="D828" s="24" t="str">
        <f>IFERROR(__xludf.DUMMYFUNCTION("""COMPUTED_VALUE"""),"Editora PUC Rio")</f>
        <v>Editora PUC Rio</v>
      </c>
      <c r="E828" s="25">
        <f>IFERROR(__xludf.DUMMYFUNCTION("""COMPUTED_VALUE"""),2017.0)</f>
        <v>2017</v>
      </c>
      <c r="F828" s="24" t="str">
        <f>IFERROR(__xludf.DUMMYFUNCTION("""COMPUTED_VALUE"""),"Spinoza, Benedictus de, 1632-1677. Filosofia moderna")</f>
        <v>Spinoza, Benedictus de, 1632-1677. Filosofia moderna</v>
      </c>
      <c r="G828" s="28" t="str">
        <f>IFERROR(__xludf.DUMMYFUNCTION("""COMPUTED_VALUE"""),"9788580062199")</f>
        <v>9788580062199</v>
      </c>
      <c r="H828" s="29" t="str">
        <f>IFERROR(__xludf.DUMMYFUNCTION("""COMPUTED_VALUE"""),"http://www.editora.puc-rio.br/media/Spinoza%20-%20vol2.pdf")</f>
        <v>http://www.editora.puc-rio.br/media/Spinoza%20-%20vol2.pdf</v>
      </c>
      <c r="I828" s="24" t="str">
        <f>IFERROR(__xludf.DUMMYFUNCTION("""COMPUTED_VALUE"""),"Ciências Humanas")</f>
        <v>Ciências Humanas</v>
      </c>
    </row>
    <row r="829">
      <c r="A829" s="24" t="str">
        <f>IFERROR(__xludf.DUMMYFUNCTION("""COMPUTED_VALUE"""),"Suape: desenvolvimento em questão")</f>
        <v>Suape: desenvolvimento em questão</v>
      </c>
      <c r="B829" s="24" t="str">
        <f>IFERROR(__xludf.DUMMYFUNCTION("""COMPUTED_VALUE"""),"Heleinlda Cavalcanti; Maria Ângela de Almeida Souza e Roberto Veras de Oliveira (org.)")</f>
        <v>Heleinlda Cavalcanti; Maria Ângela de Almeida Souza e Roberto Veras de Oliveira (org.)</v>
      </c>
      <c r="C829" s="24" t="str">
        <f>IFERROR(__xludf.DUMMYFUNCTION("""COMPUTED_VALUE"""),"Recife")</f>
        <v>Recife</v>
      </c>
      <c r="D829" s="24" t="str">
        <f>IFERROR(__xludf.DUMMYFUNCTION("""COMPUTED_VALUE"""),"Fundação Joaquim Nabuco / Editora Massangana")</f>
        <v>Fundação Joaquim Nabuco / Editora Massangana</v>
      </c>
      <c r="E829" s="25">
        <f>IFERROR(__xludf.DUMMYFUNCTION("""COMPUTED_VALUE"""),2018.0)</f>
        <v>2018</v>
      </c>
      <c r="F829" s="24" t="str">
        <f>IFERROR(__xludf.DUMMYFUNCTION("""COMPUTED_VALUE"""),"Complexo Industrial Portuário de Suape; Desenvolvimento Econômico; Impactos Sociais; Pernambuco")</f>
        <v>Complexo Industrial Portuário de Suape; Desenvolvimento Econômico; Impactos Sociais; Pernambuco</v>
      </c>
      <c r="G829" s="28" t="str">
        <f>IFERROR(__xludf.DUMMYFUNCTION("""COMPUTED_VALUE"""),"9788570196750")</f>
        <v>9788570196750</v>
      </c>
      <c r="H829" s="29" t="str">
        <f>IFERROR(__xludf.DUMMYFUNCTION("""COMPUTED_VALUE"""),"https://www.fundaj.gov.br/images/stories/editora/livros/livro_suape_portal.pdf")</f>
        <v>https://www.fundaj.gov.br/images/stories/editora/livros/livro_suape_portal.pdf</v>
      </c>
      <c r="I829" s="24" t="str">
        <f>IFERROR(__xludf.DUMMYFUNCTION("""COMPUTED_VALUE"""),"Ciências Humanas")</f>
        <v>Ciências Humanas</v>
      </c>
    </row>
    <row r="830">
      <c r="A830" s="24" t="str">
        <f>IFERROR(__xludf.DUMMYFUNCTION("""COMPUTED_VALUE"""),"Taperuaba em Perspectiva")</f>
        <v>Taperuaba em Perspectiva</v>
      </c>
      <c r="B830" s="24" t="str">
        <f>IFERROR(__xludf.DUMMYFUNCTION("""COMPUTED_VALUE"""),"Ernane Cortez Lima, José Marcos Duarte Rodrigues, Igor Emanoel Ramos Barroso, Penha Magalhães Ribeiro, Denis Paiva Lopes")</f>
        <v>Ernane Cortez Lima, José Marcos Duarte Rodrigues, Igor Emanoel Ramos Barroso, Penha Magalhães Ribeiro, Denis Paiva Lopes</v>
      </c>
      <c r="C830" s="24" t="str">
        <f>IFERROR(__xludf.DUMMYFUNCTION("""COMPUTED_VALUE"""),"Sobral")</f>
        <v>Sobral</v>
      </c>
      <c r="D830" s="24" t="str">
        <f>IFERROR(__xludf.DUMMYFUNCTION("""COMPUTED_VALUE"""),"Edições UVA")</f>
        <v>Edições UVA</v>
      </c>
      <c r="E830" s="25">
        <f>IFERROR(__xludf.DUMMYFUNCTION("""COMPUTED_VALUE"""),2018.0)</f>
        <v>2018</v>
      </c>
      <c r="F830" s="24" t="str">
        <f>IFERROR(__xludf.DUMMYFUNCTION("""COMPUTED_VALUE"""),"Taperuba, História, Cultura, Ambiente, Educação")</f>
        <v>Taperuba, História, Cultura, Ambiente, Educação</v>
      </c>
      <c r="G830" s="28" t="str">
        <f>IFERROR(__xludf.DUMMYFUNCTION("""COMPUTED_VALUE"""),"9788595390317")</f>
        <v>9788595390317</v>
      </c>
      <c r="H830" s="29" t="str">
        <f>IFERROR(__xludf.DUMMYFUNCTION("""COMPUTED_VALUE"""),"http://www.uvanet.br/edicoes_uva/gera_xml.php?arquivo=taperuaba")</f>
        <v>http://www.uvanet.br/edicoes_uva/gera_xml.php?arquivo=taperuaba</v>
      </c>
      <c r="I830" s="24" t="str">
        <f>IFERROR(__xludf.DUMMYFUNCTION("""COMPUTED_VALUE"""),"Ciências Humanas")</f>
        <v>Ciências Humanas</v>
      </c>
    </row>
    <row r="831">
      <c r="A831" s="24" t="str">
        <f>IFERROR(__xludf.DUMMYFUNCTION("""COMPUTED_VALUE"""),"Tardes ao Léu: Uma Etnografia Sobre o Tempo Livre entre Jovens de Periferia do Recife")</f>
        <v>Tardes ao Léu: Uma Etnografia Sobre o Tempo Livre entre Jovens de Periferia do Recife</v>
      </c>
      <c r="B831" s="24" t="str">
        <f>IFERROR(__xludf.DUMMYFUNCTION("""COMPUTED_VALUE"""),"Mónica Franch")</f>
        <v>Mónica Franch</v>
      </c>
      <c r="C831" s="24" t="str">
        <f>IFERROR(__xludf.DUMMYFUNCTION("""COMPUTED_VALUE"""),"João Pessoa")</f>
        <v>João Pessoa</v>
      </c>
      <c r="D831" s="24" t="str">
        <f>IFERROR(__xludf.DUMMYFUNCTION("""COMPUTED_VALUE"""),"Editora da UFPB")</f>
        <v>Editora da UFPB</v>
      </c>
      <c r="E831" s="25">
        <f>IFERROR(__xludf.DUMMYFUNCTION("""COMPUTED_VALUE"""),2016.0)</f>
        <v>2016</v>
      </c>
      <c r="F831" s="24" t="str">
        <f>IFERROR(__xludf.DUMMYFUNCTION("""COMPUTED_VALUE"""),"Etnografia - estudo. Jovens - uso do tempo livre. Vivência familiar. Mundo juvenil")</f>
        <v>Etnografia - estudo. Jovens - uso do tempo livre. Vivência familiar. Mundo juvenil</v>
      </c>
      <c r="G831" s="28" t="str">
        <f>IFERROR(__xludf.DUMMYFUNCTION("""COMPUTED_VALUE"""),"9788523712136")</f>
        <v>9788523712136</v>
      </c>
      <c r="H831" s="29" t="str">
        <f>IFERROR(__xludf.DUMMYFUNCTION("""COMPUTED_VALUE"""),"http://www.editora.ufpb.br/sistema/press5/index.php/UFPB/catalog/book/156")</f>
        <v>http://www.editora.ufpb.br/sistema/press5/index.php/UFPB/catalog/book/156</v>
      </c>
      <c r="I831" s="24" t="str">
        <f>IFERROR(__xludf.DUMMYFUNCTION("""COMPUTED_VALUE"""),"Ciências Humanas")</f>
        <v>Ciências Humanas</v>
      </c>
    </row>
    <row r="832">
      <c r="A832" s="24" t="str">
        <f>IFERROR(__xludf.DUMMYFUNCTION("""COMPUTED_VALUE"""),"Técnicos, intelectuais e políticos na Nova República")</f>
        <v>Técnicos, intelectuais e políticos na Nova República</v>
      </c>
      <c r="B832" s="24" t="str">
        <f>IFERROR(__xludf.DUMMYFUNCTION("""COMPUTED_VALUE"""),"Maria Celina D’Araujo, organizadora")</f>
        <v>Maria Celina D’Araujo, organizadora</v>
      </c>
      <c r="C832" s="24" t="str">
        <f>IFERROR(__xludf.DUMMYFUNCTION("""COMPUTED_VALUE"""),"Rio de Janeiro")</f>
        <v>Rio de Janeiro</v>
      </c>
      <c r="D832" s="24" t="str">
        <f>IFERROR(__xludf.DUMMYFUNCTION("""COMPUTED_VALUE"""),"Editora PUC Rio")</f>
        <v>Editora PUC Rio</v>
      </c>
      <c r="E832" s="25">
        <f>IFERROR(__xludf.DUMMYFUNCTION("""COMPUTED_VALUE"""),2018.0)</f>
        <v>2018</v>
      </c>
      <c r="F832" s="24" t="str">
        <f>IFERROR(__xludf.DUMMYFUNCTION("""COMPUTED_VALUE"""),"Servidores públicos – Brasil. Administração pública - Brasil. Serviço público – Brasil")</f>
        <v>Servidores públicos – Brasil. Administração pública - Brasil. Serviço público – Brasil</v>
      </c>
      <c r="G832" s="28" t="str">
        <f>IFERROR(__xludf.DUMMYFUNCTION("""COMPUTED_VALUE"""),"9788580062588")</f>
        <v>9788580062588</v>
      </c>
      <c r="H832" s="29" t="str">
        <f>IFERROR(__xludf.DUMMYFUNCTION("""COMPUTED_VALUE"""),"http://www.editora.puc-rio.br/media/T%C3%A9cnicos_intelectuais_e_pol%C3%ADticos%20final.pdf")</f>
        <v>http://www.editora.puc-rio.br/media/T%C3%A9cnicos_intelectuais_e_pol%C3%ADticos%20final.pdf</v>
      </c>
      <c r="I832" s="24" t="str">
        <f>IFERROR(__xludf.DUMMYFUNCTION("""COMPUTED_VALUE"""),"Ciências Humanas")</f>
        <v>Ciências Humanas</v>
      </c>
    </row>
    <row r="833">
      <c r="A833" s="24" t="str">
        <f>IFERROR(__xludf.DUMMYFUNCTION("""COMPUTED_VALUE"""),"Tecnologia, objetividade e superação da metafísica")</f>
        <v>Tecnologia, objetividade e superação da metafísica</v>
      </c>
      <c r="B833" s="24" t="str">
        <f>IFERROR(__xludf.DUMMYFUNCTION("""COMPUTED_VALUE"""),"Rafael Paes Henriques")</f>
        <v>Rafael Paes Henriques</v>
      </c>
      <c r="C833" s="24" t="str">
        <f>IFERROR(__xludf.DUMMYFUNCTION("""COMPUTED_VALUE"""),"Vitória")</f>
        <v>Vitória</v>
      </c>
      <c r="D833" s="24" t="str">
        <f>IFERROR(__xludf.DUMMYFUNCTION("""COMPUTED_VALUE"""),"EDUFES")</f>
        <v>EDUFES</v>
      </c>
      <c r="E833" s="25">
        <f>IFERROR(__xludf.DUMMYFUNCTION("""COMPUTED_VALUE"""),2014.0)</f>
        <v>2014</v>
      </c>
      <c r="F833" s="24" t="str">
        <f>IFERROR(__xludf.DUMMYFUNCTION("""COMPUTED_VALUE"""),"Tecnologia; Objetividade; Existencialismo; Metafísica")</f>
        <v>Tecnologia; Objetividade; Existencialismo; Metafísica</v>
      </c>
      <c r="G833" s="28" t="str">
        <f>IFERROR(__xludf.DUMMYFUNCTION("""COMPUTED_VALUE"""),"978857772187 0")</f>
        <v>978857772187 0</v>
      </c>
      <c r="H833" s="29" t="str">
        <f>IFERROR(__xludf.DUMMYFUNCTION("""COMPUTED_VALUE"""),"http://repositorio.ufes.br/bitstream/10/1137/1/Livro%20Edufes%20Tecnologia%20objetividade%20e%20supera%C3%A7%C3%A3o%20da%20metaf%C3%ADsica.pdf")</f>
        <v>http://repositorio.ufes.br/bitstream/10/1137/1/Livro%20Edufes%20Tecnologia%20objetividade%20e%20supera%C3%A7%C3%A3o%20da%20metaf%C3%ADsica.pdf</v>
      </c>
      <c r="I833" s="24" t="str">
        <f>IFERROR(__xludf.DUMMYFUNCTION("""COMPUTED_VALUE"""),"Ciências Humanas")</f>
        <v>Ciências Humanas</v>
      </c>
    </row>
    <row r="834">
      <c r="A834" s="24" t="str">
        <f>IFERROR(__xludf.DUMMYFUNCTION("""COMPUTED_VALUE"""),"Temas em Geografia Rural")</f>
        <v>Temas em Geografia Rural</v>
      </c>
      <c r="B834" s="24" t="str">
        <f>IFERROR(__xludf.DUMMYFUNCTION("""COMPUTED_VALUE"""),"Glaucio José Marafon, Marcelo Cervo Chelotti e Vera Lúcia Salazar Pessôa (organização)")</f>
        <v>Glaucio José Marafon, Marcelo Cervo Chelotti e Vera Lúcia Salazar Pessôa (organização)</v>
      </c>
      <c r="C834" s="24" t="str">
        <f>IFERROR(__xludf.DUMMYFUNCTION("""COMPUTED_VALUE"""),"Rio de Janeiro")</f>
        <v>Rio de Janeiro</v>
      </c>
      <c r="D834" s="24" t="str">
        <f>IFERROR(__xludf.DUMMYFUNCTION("""COMPUTED_VALUE"""),"EdUERJ")</f>
        <v>EdUERJ</v>
      </c>
      <c r="E834" s="25">
        <f>IFERROR(__xludf.DUMMYFUNCTION("""COMPUTED_VALUE"""),2020.0)</f>
        <v>2020</v>
      </c>
      <c r="F834" s="24" t="str">
        <f>IFERROR(__xludf.DUMMYFUNCTION("""COMPUTED_VALUE"""),"Geografia Rural; Geografia; Questões rurais")</f>
        <v>Geografia Rural; Geografia; Questões rurais</v>
      </c>
      <c r="G834" s="28" t="str">
        <f>IFERROR(__xludf.DUMMYFUNCTION("""COMPUTED_VALUE"""),"9788575115206")</f>
        <v>9788575115206</v>
      </c>
      <c r="H834" s="29" t="str">
        <f>IFERROR(__xludf.DUMMYFUNCTION("""COMPUTED_VALUE"""),"https://www.eduerj.com/eng/?product=temas-em-geografia-rural-2")</f>
        <v>https://www.eduerj.com/eng/?product=temas-em-geografia-rural-2</v>
      </c>
      <c r="I834" s="24" t="str">
        <f>IFERROR(__xludf.DUMMYFUNCTION("""COMPUTED_VALUE"""),"Ciências Humanas")</f>
        <v>Ciências Humanas</v>
      </c>
    </row>
    <row r="835">
      <c r="A835" s="24" t="str">
        <f>IFERROR(__xludf.DUMMYFUNCTION("""COMPUTED_VALUE"""),"Temas em políticas e gestão da educação")</f>
        <v>Temas em políticas e gestão da educação</v>
      </c>
      <c r="B835" s="24" t="str">
        <f>IFERROR(__xludf.DUMMYFUNCTION("""COMPUTED_VALUE"""),"organizador: Paulo Gomes Lima")</f>
        <v>organizador: Paulo Gomes Lima</v>
      </c>
      <c r="C835" s="24" t="str">
        <f>IFERROR(__xludf.DUMMYFUNCTION("""COMPUTED_VALUE"""),"Dourados, MS")</f>
        <v>Dourados, MS</v>
      </c>
      <c r="D835" s="24" t="str">
        <f>IFERROR(__xludf.DUMMYFUNCTION("""COMPUTED_VALUE"""),"Ed. da UFGD")</f>
        <v>Ed. da UFGD</v>
      </c>
      <c r="E835" s="25">
        <f>IFERROR(__xludf.DUMMYFUNCTION("""COMPUTED_VALUE"""),2013.0)</f>
        <v>2013</v>
      </c>
      <c r="F835" s="24" t="str">
        <f>IFERROR(__xludf.DUMMYFUNCTION("""COMPUTED_VALUE"""),"Administração escolar; Escolas; Políticas educacionais")</f>
        <v>Administração escolar; Escolas; Políticas educacionais</v>
      </c>
      <c r="G835" s="28" t="str">
        <f>IFERROR(__xludf.DUMMYFUNCTION("""COMPUTED_VALUE"""),"9788581470702")</f>
        <v>9788581470702</v>
      </c>
      <c r="H835" s="29" t="str">
        <f>IFERROR(__xludf.DUMMYFUNCTION("""COMPUTED_VALUE"""),"http://omp.ufgd.edu.br/omp/index.php/livrosabertos/catalog/view/232/108/384-2")</f>
        <v>http://omp.ufgd.edu.br/omp/index.php/livrosabertos/catalog/view/232/108/384-2</v>
      </c>
      <c r="I835" s="24" t="str">
        <f>IFERROR(__xludf.DUMMYFUNCTION("""COMPUTED_VALUE"""),"Ciências Humanas")</f>
        <v>Ciências Humanas</v>
      </c>
    </row>
    <row r="836">
      <c r="A836" s="24" t="str">
        <f>IFERROR(__xludf.DUMMYFUNCTION("""COMPUTED_VALUE"""),"Temas emergentes da educação matemática brasileira")</f>
        <v>Temas emergentes da educação matemática brasileira</v>
      </c>
      <c r="B836" s="24" t="str">
        <f>IFERROR(__xludf.DUMMYFUNCTION("""COMPUTED_VALUE"""),"Aldrin Cleyde da Cunha, EdvoneteSouza de Alencar (org.)")</f>
        <v>Aldrin Cleyde da Cunha, EdvoneteSouza de Alencar (org.)</v>
      </c>
      <c r="C836" s="24" t="str">
        <f>IFERROR(__xludf.DUMMYFUNCTION("""COMPUTED_VALUE"""),"Dourados, MS")</f>
        <v>Dourados, MS</v>
      </c>
      <c r="D836" s="24" t="str">
        <f>IFERROR(__xludf.DUMMYFUNCTION("""COMPUTED_VALUE"""),"Ed. da UFGD")</f>
        <v>Ed. da UFGD</v>
      </c>
      <c r="E836" s="25">
        <f>IFERROR(__xludf.DUMMYFUNCTION("""COMPUTED_VALUE"""),2018.0)</f>
        <v>2018</v>
      </c>
      <c r="F836" s="24" t="str">
        <f>IFERROR(__xludf.DUMMYFUNCTION("""COMPUTED_VALUE"""),"Matemática – Estudo e ensino; Professores de matemática - Formação")</f>
        <v>Matemática – Estudo e ensino; Professores de matemática - Formação</v>
      </c>
      <c r="G836" s="28" t="str">
        <f>IFERROR(__xludf.DUMMYFUNCTION("""COMPUTED_VALUE"""),"9788581471525")</f>
        <v>9788581471525</v>
      </c>
      <c r="H836" s="29" t="str">
        <f>IFERROR(__xludf.DUMMYFUNCTION("""COMPUTED_VALUE"""),"http://omp.ufgd.edu.br/omp/index.php/livrosabertos/catalog/view/46/43/115-1")</f>
        <v>http://omp.ufgd.edu.br/omp/index.php/livrosabertos/catalog/view/46/43/115-1</v>
      </c>
      <c r="I836" s="24" t="str">
        <f>IFERROR(__xludf.DUMMYFUNCTION("""COMPUTED_VALUE"""),"Ciências Humanas")</f>
        <v>Ciências Humanas</v>
      </c>
    </row>
    <row r="837">
      <c r="A837" s="24" t="str">
        <f>IFERROR(__xludf.DUMMYFUNCTION("""COMPUTED_VALUE"""),"Temas sobre gênero e interculturalidade")</f>
        <v>Temas sobre gênero e interculturalidade</v>
      </c>
      <c r="B837" s="24" t="str">
        <f>IFERROR(__xludf.DUMMYFUNCTION("""COMPUTED_VALUE"""),"Losandro Antônio Tedeschi, Antônio Dari Ramos (org.)")</f>
        <v>Losandro Antônio Tedeschi, Antônio Dari Ramos (org.)</v>
      </c>
      <c r="C837" s="24" t="str">
        <f>IFERROR(__xludf.DUMMYFUNCTION("""COMPUTED_VALUE"""),"Dourados, MS")</f>
        <v>Dourados, MS</v>
      </c>
      <c r="D837" s="24" t="str">
        <f>IFERROR(__xludf.DUMMYFUNCTION("""COMPUTED_VALUE"""),"Ed. da UFGD")</f>
        <v>Ed. da UFGD</v>
      </c>
      <c r="E837" s="25">
        <f>IFERROR(__xludf.DUMMYFUNCTION("""COMPUTED_VALUE"""),2010.0)</f>
        <v>2010</v>
      </c>
      <c r="F837" s="24" t="str">
        <f>IFERROR(__xludf.DUMMYFUNCTION("""COMPUTED_VALUE"""),"Abordagem interdisciplinar do conhecimento; Missões jesuíticas – Rio Grande do Sul; Educação indígena; Cidadania")</f>
        <v>Abordagem interdisciplinar do conhecimento; Missões jesuíticas – Rio Grande do Sul; Educação indígena; Cidadania</v>
      </c>
      <c r="G837" s="28" t="str">
        <f>IFERROR(__xludf.DUMMYFUNCTION("""COMPUTED_VALUE"""),"9788561228644")</f>
        <v>9788561228644</v>
      </c>
      <c r="H837" s="29" t="str">
        <f>IFERROR(__xludf.DUMMYFUNCTION("""COMPUTED_VALUE"""),"http://omp.ufgd.edu.br/omp/index.php/livrosabertos/catalog/view/233/107/383-1")</f>
        <v>http://omp.ufgd.edu.br/omp/index.php/livrosabertos/catalog/view/233/107/383-1</v>
      </c>
      <c r="I837" s="24" t="str">
        <f>IFERROR(__xludf.DUMMYFUNCTION("""COMPUTED_VALUE"""),"Ciências Humanas")</f>
        <v>Ciências Humanas</v>
      </c>
    </row>
    <row r="838">
      <c r="A838" s="24" t="str">
        <f>IFERROR(__xludf.DUMMYFUNCTION("""COMPUTED_VALUE"""),"Temáticas rurais: do local ao regional")</f>
        <v>Temáticas rurais: do local ao regional</v>
      </c>
      <c r="B838" s="24" t="str">
        <f>IFERROR(__xludf.DUMMYFUNCTION("""COMPUTED_VALUE"""),"Verdum, Roberto; Fontoura, Luiz Fernando Mazzini ")</f>
        <v>Verdum, Roberto; Fontoura, Luiz Fernando Mazzini </v>
      </c>
      <c r="C838" s="24" t="str">
        <f>IFERROR(__xludf.DUMMYFUNCTION("""COMPUTED_VALUE"""),"Porto Alegre")</f>
        <v>Porto Alegre</v>
      </c>
      <c r="D838" s="24" t="str">
        <f>IFERROR(__xludf.DUMMYFUNCTION("""COMPUTED_VALUE"""),"UFRGS")</f>
        <v>UFRGS</v>
      </c>
      <c r="E838" s="25">
        <f>IFERROR(__xludf.DUMMYFUNCTION("""COMPUTED_VALUE"""),2009.0)</f>
        <v>2009</v>
      </c>
      <c r="F838" s="24" t="str">
        <f>IFERROR(__xludf.DUMMYFUNCTION("""COMPUTED_VALUE"""),"Agricultura; Desenvolvimento rural; Economia; Geografia agrária; Sociologia rural")</f>
        <v>Agricultura; Desenvolvimento rural; Economia; Geografia agrária; Sociologia rural</v>
      </c>
      <c r="G838" s="28" t="str">
        <f>IFERROR(__xludf.DUMMYFUNCTION("""COMPUTED_VALUE"""),"9788538600701")</f>
        <v>9788538600701</v>
      </c>
      <c r="H838" s="29" t="str">
        <f>IFERROR(__xludf.DUMMYFUNCTION("""COMPUTED_VALUE"""),"http://hdl.handle.net/10183/52805")</f>
        <v>http://hdl.handle.net/10183/52805</v>
      </c>
      <c r="I838" s="24" t="str">
        <f>IFERROR(__xludf.DUMMYFUNCTION("""COMPUTED_VALUE"""),"Ciências Humanas")</f>
        <v>Ciências Humanas</v>
      </c>
    </row>
    <row r="839">
      <c r="A839" s="24" t="str">
        <f>IFERROR(__xludf.DUMMYFUNCTION("""COMPUTED_VALUE"""),"Tempos de Folia")</f>
        <v>Tempos de Folia</v>
      </c>
      <c r="B839" s="24" t="str">
        <f>IFERROR(__xludf.DUMMYFUNCTION("""COMPUTED_VALUE"""),"Isabel Cristina Martins Guillen e Augusto Neves da Silva (org.)")</f>
        <v>Isabel Cristina Martins Guillen e Augusto Neves da Silva (org.)</v>
      </c>
      <c r="C839" s="24" t="str">
        <f>IFERROR(__xludf.DUMMYFUNCTION("""COMPUTED_VALUE"""),"Recife")</f>
        <v>Recife</v>
      </c>
      <c r="D839" s="24" t="str">
        <f>IFERROR(__xludf.DUMMYFUNCTION("""COMPUTED_VALUE"""),"Fundação Joaquim Nabuco / Editora Massangana")</f>
        <v>Fundação Joaquim Nabuco / Editora Massangana</v>
      </c>
      <c r="E839" s="25">
        <f>IFERROR(__xludf.DUMMYFUNCTION("""COMPUTED_VALUE"""),2018.0)</f>
        <v>2018</v>
      </c>
      <c r="F839" s="24" t="str">
        <f>IFERROR(__xludf.DUMMYFUNCTION("""COMPUTED_VALUE"""),"Carnaval; Recife; Folia")</f>
        <v>Carnaval; Recife; Folia</v>
      </c>
      <c r="G839" s="28" t="str">
        <f>IFERROR(__xludf.DUMMYFUNCTION("""COMPUTED_VALUE"""),"9788570196767")</f>
        <v>9788570196767</v>
      </c>
      <c r="H839" s="29" t="str">
        <f>IFERROR(__xludf.DUMMYFUNCTION("""COMPUTED_VALUE"""),"https://www.fundaj.gov.br/images/stories/editora/livros/tempos_de_folia.pdf")</f>
        <v>https://www.fundaj.gov.br/images/stories/editora/livros/tempos_de_folia.pdf</v>
      </c>
      <c r="I839" s="24" t="str">
        <f>IFERROR(__xludf.DUMMYFUNCTION("""COMPUTED_VALUE"""),"Ciências Humanas")</f>
        <v>Ciências Humanas</v>
      </c>
    </row>
    <row r="840">
      <c r="A840" s="24" t="str">
        <f>IFERROR(__xludf.DUMMYFUNCTION("""COMPUTED_VALUE"""),"Tempos diferentes, discursos iguais: a construção do corpo feminino na história")</f>
        <v>Tempos diferentes, discursos iguais: a construção do corpo feminino na história</v>
      </c>
      <c r="B840" s="24" t="str">
        <f>IFERROR(__xludf.DUMMYFUNCTION("""COMPUTED_VALUE"""),"Ana Maria Colling")</f>
        <v>Ana Maria Colling</v>
      </c>
      <c r="C840" s="24" t="str">
        <f>IFERROR(__xludf.DUMMYFUNCTION("""COMPUTED_VALUE"""),"Dourados, MS")</f>
        <v>Dourados, MS</v>
      </c>
      <c r="D840" s="24" t="str">
        <f>IFERROR(__xludf.DUMMYFUNCTION("""COMPUTED_VALUE"""),"Ed. da UFGD")</f>
        <v>Ed. da UFGD</v>
      </c>
      <c r="E840" s="25">
        <f>IFERROR(__xludf.DUMMYFUNCTION("""COMPUTED_VALUE"""),2014.0)</f>
        <v>2014</v>
      </c>
      <c r="F840" s="24" t="str">
        <f>IFERROR(__xludf.DUMMYFUNCTION("""COMPUTED_VALUE"""),"História das mulheres; Estudo de gêneros; Inter-culturalidade")</f>
        <v>História das mulheres; Estudo de gêneros; Inter-culturalidade</v>
      </c>
      <c r="G840" s="28" t="str">
        <f>IFERROR(__xludf.DUMMYFUNCTION("""COMPUTED_VALUE"""),"9788581470764")</f>
        <v>9788581470764</v>
      </c>
      <c r="H840" s="29" t="str">
        <f>IFERROR(__xludf.DUMMYFUNCTION("""COMPUTED_VALUE"""),"http://omp.ufgd.edu.br/omp/index.php/livrosabertos/catalog/view/44/35/105-1")</f>
        <v>http://omp.ufgd.edu.br/omp/index.php/livrosabertos/catalog/view/44/35/105-1</v>
      </c>
      <c r="I840" s="24" t="str">
        <f>IFERROR(__xludf.DUMMYFUNCTION("""COMPUTED_VALUE"""),"Ciências Humanas")</f>
        <v>Ciências Humanas</v>
      </c>
    </row>
    <row r="841">
      <c r="A841" s="24" t="str">
        <f>IFERROR(__xludf.DUMMYFUNCTION("""COMPUTED_VALUE"""),"Tempos e espaços civilizadores: diálogos com Norbert Elias.")</f>
        <v>Tempos e espaços civilizadores: diálogos com Norbert Elias.</v>
      </c>
      <c r="B841" s="24" t="str">
        <f>IFERROR(__xludf.DUMMYFUNCTION("""COMPUTED_VALUE"""),"Jones Dari Goettert, Magda Sarat (org.)")</f>
        <v>Jones Dari Goettert, Magda Sarat (org.)</v>
      </c>
      <c r="C841" s="24" t="str">
        <f>IFERROR(__xludf.DUMMYFUNCTION("""COMPUTED_VALUE"""),"Dourados, MS")</f>
        <v>Dourados, MS</v>
      </c>
      <c r="D841" s="24" t="str">
        <f>IFERROR(__xludf.DUMMYFUNCTION("""COMPUTED_VALUE"""),"Editora da UFGD")</f>
        <v>Editora da UFGD</v>
      </c>
      <c r="E841" s="25">
        <f>IFERROR(__xludf.DUMMYFUNCTION("""COMPUTED_VALUE"""),2009.0)</f>
        <v>2009</v>
      </c>
      <c r="F841" s="24" t="str">
        <f>IFERROR(__xludf.DUMMYFUNCTION("""COMPUTED_VALUE"""),"Elias, Norbert, 1897-1990. Processo civilizador; Civilização; Interação social")</f>
        <v>Elias, Norbert, 1897-1990. Processo civilizador; Civilização; Interação social</v>
      </c>
      <c r="G841" s="28" t="str">
        <f>IFERROR(__xludf.DUMMYFUNCTION("""COMPUTED_VALUE"""),"9788561228545")</f>
        <v>9788561228545</v>
      </c>
      <c r="H841" s="29" t="str">
        <f>IFERROR(__xludf.DUMMYFUNCTION("""COMPUTED_VALUE"""),"http://omp.ufgd.edu.br/omp/index.php/livrosabertos/catalog/view/43/33/102-2")</f>
        <v>http://omp.ufgd.edu.br/omp/index.php/livrosabertos/catalog/view/43/33/102-2</v>
      </c>
      <c r="I841" s="24" t="str">
        <f>IFERROR(__xludf.DUMMYFUNCTION("""COMPUTED_VALUE"""),"Ciências Humanas")</f>
        <v>Ciências Humanas</v>
      </c>
    </row>
    <row r="842">
      <c r="A842" s="24" t="str">
        <f>IFERROR(__xludf.DUMMYFUNCTION("""COMPUTED_VALUE"""),"TEMPOS E ESPAÇOS DE FORMAÇÃO DOCENTE E INOVAÇÃO PEDAGÓGICA")</f>
        <v>TEMPOS E ESPAÇOS DE FORMAÇÃO DOCENTE E INOVAÇÃO PEDAGÓGICA</v>
      </c>
      <c r="B842" s="24" t="str">
        <f>IFERROR(__xludf.DUMMYFUNCTION("""COMPUTED_VALUE"""),"Solange Zotti. Deise Nivia Reisdoefer")</f>
        <v>Solange Zotti. Deise Nivia Reisdoefer</v>
      </c>
      <c r="C842" s="24" t="str">
        <f>IFERROR(__xludf.DUMMYFUNCTION("""COMPUTED_VALUE"""),"Blumenau")</f>
        <v>Blumenau</v>
      </c>
      <c r="D842" s="24" t="str">
        <f>IFERROR(__xludf.DUMMYFUNCTION("""COMPUTED_VALUE"""),"Instituto Federal Catarinense")</f>
        <v>Instituto Federal Catarinense</v>
      </c>
      <c r="E842" s="25">
        <f>IFERROR(__xludf.DUMMYFUNCTION("""COMPUTED_VALUE"""),2017.0)</f>
        <v>2017</v>
      </c>
      <c r="F842" s="24" t="str">
        <f>IFERROR(__xludf.DUMMYFUNCTION("""COMPUTED_VALUE"""),"Educação. Formação Docente. Inovação pedagógica. Práticas pedagógicas")</f>
        <v>Educação. Formação Docente. Inovação pedagógica. Práticas pedagógicas</v>
      </c>
      <c r="G842" s="28" t="str">
        <f>IFERROR(__xludf.DUMMYFUNCTION("""COMPUTED_VALUE"""),"9788556440051")</f>
        <v>9788556440051</v>
      </c>
      <c r="H842" s="29" t="str">
        <f>IFERROR(__xludf.DUMMYFUNCTION("""COMPUTED_VALUE"""),"https://editora.ifc.edu.br/2019/04/01/tempos-e-espacos-de-formacao-docente-e-inovacao-pedagogica/")</f>
        <v>https://editora.ifc.edu.br/2019/04/01/tempos-e-espacos-de-formacao-docente-e-inovacao-pedagogica/</v>
      </c>
      <c r="I842" s="24" t="str">
        <f>IFERROR(__xludf.DUMMYFUNCTION("""COMPUTED_VALUE"""),"Ciências Humanas")</f>
        <v>Ciências Humanas</v>
      </c>
    </row>
    <row r="843">
      <c r="A843" s="24" t="str">
        <f>IFERROR(__xludf.DUMMYFUNCTION("""COMPUTED_VALUE"""),"Tênues Relações: Uma Investigação da Estrutura Formal na Casa Contemporânea Brasileira (disponível temporariamente)")</f>
        <v>Tênues Relações: Uma Investigação da Estrutura Formal na Casa Contemporânea Brasileira (disponível temporariamente)</v>
      </c>
      <c r="B843" s="24" t="str">
        <f>IFERROR(__xludf.DUMMYFUNCTION("""COMPUTED_VALUE"""),"Tamires Oliveira Cabral")</f>
        <v>Tamires Oliveira Cabral</v>
      </c>
      <c r="C843" s="24" t="str">
        <f>IFERROR(__xludf.DUMMYFUNCTION("""COMPUTED_VALUE"""),"João Pessoa")</f>
        <v>João Pessoa</v>
      </c>
      <c r="D843" s="24" t="str">
        <f>IFERROR(__xludf.DUMMYFUNCTION("""COMPUTED_VALUE"""),"Editora da UFPB")</f>
        <v>Editora da UFPB</v>
      </c>
      <c r="E843" s="25">
        <f>IFERROR(__xludf.DUMMYFUNCTION("""COMPUTED_VALUE"""),2018.0)</f>
        <v>2018</v>
      </c>
      <c r="F843" s="24" t="str">
        <f>IFERROR(__xludf.DUMMYFUNCTION("""COMPUTED_VALUE"""),"Residências unifamiliares - Análise arquitetônica. Estrutura.formal. Estrutura contemporânea")</f>
        <v>Residências unifamiliares - Análise arquitetônica. Estrutura.formal. Estrutura contemporânea</v>
      </c>
      <c r="G843" s="28" t="str">
        <f>IFERROR(__xludf.DUMMYFUNCTION("""COMPUTED_VALUE"""),"9788523713386")</f>
        <v>9788523713386</v>
      </c>
      <c r="H843" s="29" t="str">
        <f>IFERROR(__xludf.DUMMYFUNCTION("""COMPUTED_VALUE"""),"http://www.editora.ufpb.br/sistema/press5/index.php/UFPB/catalog/book/284")</f>
        <v>http://www.editora.ufpb.br/sistema/press5/index.php/UFPB/catalog/book/284</v>
      </c>
      <c r="I843" s="24" t="str">
        <f>IFERROR(__xludf.DUMMYFUNCTION("""COMPUTED_VALUE"""),"Ciências Humanas")</f>
        <v>Ciências Humanas</v>
      </c>
    </row>
    <row r="844">
      <c r="A844" s="24" t="str">
        <f>IFERROR(__xludf.DUMMYFUNCTION("""COMPUTED_VALUE"""),"Teologia Do Riso")</f>
        <v>Teologia Do Riso</v>
      </c>
      <c r="B844" s="24" t="str">
        <f>IFERROR(__xludf.DUMMYFUNCTION("""COMPUTED_VALUE"""),"Salma Ferraz; Antonio Carlos de Melo Magalhães; Raphael Novaresi Leopoldo; Patrícia Leonor Martins; Eli Brandão da Silva (org.)")</f>
        <v>Salma Ferraz; Antonio Carlos de Melo Magalhães; Raphael Novaresi Leopoldo; Patrícia Leonor Martins; Eli Brandão da Silva (org.)</v>
      </c>
      <c r="C844" s="24" t="str">
        <f>IFERROR(__xludf.DUMMYFUNCTION("""COMPUTED_VALUE"""),"Campina Grande")</f>
        <v>Campina Grande</v>
      </c>
      <c r="D844" s="24" t="str">
        <f>IFERROR(__xludf.DUMMYFUNCTION("""COMPUTED_VALUE"""),"EDUEPB")</f>
        <v>EDUEPB</v>
      </c>
      <c r="E844" s="25">
        <f>IFERROR(__xludf.DUMMYFUNCTION("""COMPUTED_VALUE"""),2017.0)</f>
        <v>2017</v>
      </c>
      <c r="F844" s="24" t="str">
        <f>IFERROR(__xludf.DUMMYFUNCTION("""COMPUTED_VALUE"""),"Teologia. Religião. Filosofia. Bíblia Sagrada. Cristianismo. Humor. Riso")</f>
        <v>Teologia. Religião. Filosofia. Bíblia Sagrada. Cristianismo. Humor. Riso</v>
      </c>
      <c r="G844" s="28" t="str">
        <f>IFERROR(__xludf.DUMMYFUNCTION("""COMPUTED_VALUE"""),"9788578794101")</f>
        <v>9788578794101</v>
      </c>
      <c r="H844" s="29" t="str">
        <f>IFERROR(__xludf.DUMMYFUNCTION("""COMPUTED_VALUE"""),"http://eduepb.uepb.edu.br/download/teologia-do-riso/?wpdmdl=221&amp;amp;masterkey=5af9a25c5892a")</f>
        <v>http://eduepb.uepb.edu.br/download/teologia-do-riso/?wpdmdl=221&amp;amp;masterkey=5af9a25c5892a</v>
      </c>
      <c r="I844" s="24" t="str">
        <f>IFERROR(__xludf.DUMMYFUNCTION("""COMPUTED_VALUE"""),"Ciências Humanas")</f>
        <v>Ciências Humanas</v>
      </c>
    </row>
    <row r="845">
      <c r="A845" s="24" t="str">
        <f>IFERROR(__xludf.DUMMYFUNCTION("""COMPUTED_VALUE"""),"Teoria crítica, formação cultural e educação: homenagem a Bruno Pucci")</f>
        <v>Teoria crítica, formação cultural e educação: homenagem a Bruno Pucci</v>
      </c>
      <c r="B845" s="24" t="str">
        <f>IFERROR(__xludf.DUMMYFUNCTION("""COMPUTED_VALUE"""),"Antonio A. S. Zuin; Belarmino C. G. da Costa; Luiz Roberto Gomes; Luiz A. C. N. Lastória (org.)")</f>
        <v>Antonio A. S. Zuin; Belarmino C. G. da Costa; Luiz Roberto Gomes; Luiz A. C. N. Lastória (org.)</v>
      </c>
      <c r="C845" s="24" t="str">
        <f>IFERROR(__xludf.DUMMYFUNCTION("""COMPUTED_VALUE"""),"Piracicaba, SP")</f>
        <v>Piracicaba, SP</v>
      </c>
      <c r="D845" s="24" t="str">
        <f>IFERROR(__xludf.DUMMYFUNCTION("""COMPUTED_VALUE"""),"UNIMEP")</f>
        <v>UNIMEP</v>
      </c>
      <c r="E845" s="25">
        <f>IFERROR(__xludf.DUMMYFUNCTION("""COMPUTED_VALUE"""),2018.0)</f>
        <v>2018</v>
      </c>
      <c r="F845" s="24" t="str">
        <f>IFERROR(__xludf.DUMMYFUNCTION("""COMPUTED_VALUE"""),"Teoria crítica em educação. Formação cultural e educação")</f>
        <v>Teoria crítica em educação. Formação cultural e educação</v>
      </c>
      <c r="G845" s="28" t="str">
        <f>IFERROR(__xludf.DUMMYFUNCTION("""COMPUTED_VALUE"""),"9788585541910")</f>
        <v>9788585541910</v>
      </c>
      <c r="H845" s="29" t="str">
        <f>IFERROR(__xludf.DUMMYFUNCTION("""COMPUTED_VALUE"""),"http://editora.metodista.br/livros-gratis/Teoria%20Critica.pdf/at_download/file")</f>
        <v>http://editora.metodista.br/livros-gratis/Teoria%20Critica.pdf/at_download/file</v>
      </c>
      <c r="I845" s="24" t="str">
        <f>IFERROR(__xludf.DUMMYFUNCTION("""COMPUTED_VALUE"""),"Ciências Humanas")</f>
        <v>Ciências Humanas</v>
      </c>
    </row>
    <row r="846">
      <c r="A846" s="24" t="str">
        <f>IFERROR(__xludf.DUMMYFUNCTION("""COMPUTED_VALUE"""),"Termo de Mariana: História e Documentação (Vol. III)")</f>
        <v>Termo de Mariana: História e Documentação (Vol. III)</v>
      </c>
      <c r="B846" s="24" t="str">
        <f>IFERROR(__xludf.DUMMYFUNCTION("""COMPUTED_VALUE"""),"Helena Miranda Mollo; Marco Antônio Silveira")</f>
        <v>Helena Miranda Mollo; Marco Antônio Silveira</v>
      </c>
      <c r="C846" s="24" t="str">
        <f>IFERROR(__xludf.DUMMYFUNCTION("""COMPUTED_VALUE"""),"Ouro Preto")</f>
        <v>Ouro Preto</v>
      </c>
      <c r="D846" s="24" t="str">
        <f>IFERROR(__xludf.DUMMYFUNCTION("""COMPUTED_VALUE"""),"UFOP")</f>
        <v>UFOP</v>
      </c>
      <c r="E846" s="25">
        <f>IFERROR(__xludf.DUMMYFUNCTION("""COMPUTED_VALUE"""),2010.0)</f>
        <v>2010</v>
      </c>
      <c r="F846" s="24" t="str">
        <f>IFERROR(__xludf.DUMMYFUNCTION("""COMPUTED_VALUE"""),"Historiografia. Documentos. Mariana (MG) - História - Fontes. Pesquisa histórica")</f>
        <v>Historiografia. Documentos. Mariana (MG) - História - Fontes. Pesquisa histórica</v>
      </c>
      <c r="G846" s="28" t="str">
        <f>IFERROR(__xludf.DUMMYFUNCTION("""COMPUTED_VALUE"""),"9788528800722")</f>
        <v>9788528800722</v>
      </c>
      <c r="H846" s="29" t="str">
        <f>IFERROR(__xludf.DUMMYFUNCTION("""COMPUTED_VALUE"""),"https://www.editora.ufop.br/index.php/editora/catalog/view/46/32/108-1")</f>
        <v>https://www.editora.ufop.br/index.php/editora/catalog/view/46/32/108-1</v>
      </c>
      <c r="I846" s="24" t="str">
        <f>IFERROR(__xludf.DUMMYFUNCTION("""COMPUTED_VALUE"""),"Ciências Humanas")</f>
        <v>Ciências Humanas</v>
      </c>
    </row>
    <row r="847">
      <c r="A847" s="24" t="str">
        <f>IFERROR(__xludf.DUMMYFUNCTION("""COMPUTED_VALUE"""),"Terra indígena Buriti: perícia antropológica, arqueológica e histórica sobre uma terra terena na Serra de Maracaju, Mato Grosso do Sul")</f>
        <v>Terra indígena Buriti: perícia antropológica, arqueológica e histórica sobre uma terra terena na Serra de Maracaju, Mato Grosso do Sul</v>
      </c>
      <c r="B847" s="24" t="str">
        <f>IFERROR(__xludf.DUMMYFUNCTION("""COMPUTED_VALUE"""),"Jorge Eremites de Oliveira; Levi Marques Pereira")</f>
        <v>Jorge Eremites de Oliveira; Levi Marques Pereira</v>
      </c>
      <c r="C847" s="24" t="str">
        <f>IFERROR(__xludf.DUMMYFUNCTION("""COMPUTED_VALUE"""),"Dourados, MS")</f>
        <v>Dourados, MS</v>
      </c>
      <c r="D847" s="24" t="str">
        <f>IFERROR(__xludf.DUMMYFUNCTION("""COMPUTED_VALUE"""),"Ed. da UFGD")</f>
        <v>Ed. da UFGD</v>
      </c>
      <c r="E847" s="25">
        <f>IFERROR(__xludf.DUMMYFUNCTION("""COMPUTED_VALUE"""),2012.0)</f>
        <v>2012</v>
      </c>
      <c r="F847" s="24" t="str">
        <f>IFERROR(__xludf.DUMMYFUNCTION("""COMPUTED_VALUE"""),"Índios – Mato Grosso do Sul; Terras indígenas; Direitos indígenas")</f>
        <v>Índios – Mato Grosso do Sul; Terras indígenas; Direitos indígenas</v>
      </c>
      <c r="G847" s="28" t="str">
        <f>IFERROR(__xludf.DUMMYFUNCTION("""COMPUTED_VALUE"""),"9788581470061")</f>
        <v>9788581470061</v>
      </c>
      <c r="H847" s="29" t="str">
        <f>IFERROR(__xludf.DUMMYFUNCTION("""COMPUTED_VALUE"""),"http://omp.ufgd.edu.br/omp/index.php/livrosabertos/catalog/view/41/31/97-1")</f>
        <v>http://omp.ufgd.edu.br/omp/index.php/livrosabertos/catalog/view/41/31/97-1</v>
      </c>
      <c r="I847" s="24" t="str">
        <f>IFERROR(__xludf.DUMMYFUNCTION("""COMPUTED_VALUE"""),"Ciências Humanas")</f>
        <v>Ciências Humanas</v>
      </c>
    </row>
    <row r="848">
      <c r="A848" s="24" t="str">
        <f>IFERROR(__xludf.DUMMYFUNCTION("""COMPUTED_VALUE"""),"Terras lusas: a questão agrária em Portugal")</f>
        <v>Terras lusas: a questão agrária em Portugal</v>
      </c>
      <c r="B848" s="24" t="str">
        <f>IFERROR(__xludf.DUMMYFUNCTION("""COMPUTED_VALUE"""),"Márcia Maria Menendes; Motta (org.)")</f>
        <v>Márcia Maria Menendes; Motta (org.)</v>
      </c>
      <c r="C848" s="24" t="str">
        <f>IFERROR(__xludf.DUMMYFUNCTION("""COMPUTED_VALUE"""),"Niterói, RJ")</f>
        <v>Niterói, RJ</v>
      </c>
      <c r="D848" s="24" t="str">
        <f>IFERROR(__xludf.DUMMYFUNCTION("""COMPUTED_VALUE"""),"Editora da Universidade Federal Fluminense")</f>
        <v>Editora da Universidade Federal Fluminense</v>
      </c>
      <c r="E848" s="25">
        <f>IFERROR(__xludf.DUMMYFUNCTION("""COMPUTED_VALUE"""),2007.0)</f>
        <v>2007</v>
      </c>
      <c r="F848" s="24" t="str">
        <f>IFERROR(__xludf.DUMMYFUNCTION("""COMPUTED_VALUE"""),"História; Sociedades agrárias ")</f>
        <v>História; Sociedades agrárias </v>
      </c>
      <c r="G848" s="28" t="str">
        <f>IFERROR(__xludf.DUMMYFUNCTION("""COMPUTED_VALUE"""),"9788522804450")</f>
        <v>9788522804450</v>
      </c>
      <c r="H848" s="29" t="str">
        <f>IFERROR(__xludf.DUMMYFUNCTION("""COMPUTED_VALUE"""),"http://www.eduff.uff.br/ebooks/Terras-lusas.pdf")</f>
        <v>http://www.eduff.uff.br/ebooks/Terras-lusas.pdf</v>
      </c>
      <c r="I848" s="24" t="str">
        <f>IFERROR(__xludf.DUMMYFUNCTION("""COMPUTED_VALUE"""),"Ciências Humanas")</f>
        <v>Ciências Humanas</v>
      </c>
    </row>
    <row r="849">
      <c r="A849" s="24" t="str">
        <f>IFERROR(__xludf.DUMMYFUNCTION("""COMPUTED_VALUE"""),"Territórios Migrantes: transter ritorialização e identidades em Francisco Beltrão")</f>
        <v>Territórios Migrantes: transter ritorialização e identidades em Francisco Beltrão</v>
      </c>
      <c r="B849" s="24" t="str">
        <f>IFERROR(__xludf.DUMMYFUNCTION("""COMPUTED_VALUE"""),"Marcos Leandro Mondardo")</f>
        <v>Marcos Leandro Mondardo</v>
      </c>
      <c r="C849" s="24" t="str">
        <f>IFERROR(__xludf.DUMMYFUNCTION("""COMPUTED_VALUE"""),"Dourados, MS")</f>
        <v>Dourados, MS</v>
      </c>
      <c r="D849" s="24" t="str">
        <f>IFERROR(__xludf.DUMMYFUNCTION("""COMPUTED_VALUE"""),"Editora da UFGD")</f>
        <v>Editora da UFGD</v>
      </c>
      <c r="E849" s="25">
        <f>IFERROR(__xludf.DUMMYFUNCTION("""COMPUTED_VALUE"""),2012.0)</f>
        <v>2012</v>
      </c>
      <c r="F849" s="24" t="str">
        <f>IFERROR(__xludf.DUMMYFUNCTION("""COMPUTED_VALUE"""),"Migrações; Espaço-Tempo; Território-rede; Identi-dade; Francisco Beltrão/PR")</f>
        <v>Migrações; Espaço-Tempo; Território-rede; Identi-dade; Francisco Beltrão/PR</v>
      </c>
      <c r="G849" s="28" t="str">
        <f>IFERROR(__xludf.DUMMYFUNCTION("""COMPUTED_VALUE"""),"9788561228811")</f>
        <v>9788561228811</v>
      </c>
      <c r="H849" s="29" t="str">
        <f>IFERROR(__xludf.DUMMYFUNCTION("""COMPUTED_VALUE"""),"http://omp.ufgd.edu.br/omp/index.php/livrosabertos/catalog/view/38/28/91-1")</f>
        <v>http://omp.ufgd.edu.br/omp/index.php/livrosabertos/catalog/view/38/28/91-1</v>
      </c>
      <c r="I849" s="24" t="str">
        <f>IFERROR(__xludf.DUMMYFUNCTION("""COMPUTED_VALUE"""),"Ciências Humanas")</f>
        <v>Ciências Humanas</v>
      </c>
    </row>
    <row r="850">
      <c r="A850" s="24" t="str">
        <f>IFERROR(__xludf.DUMMYFUNCTION("""COMPUTED_VALUE"""),"Tomé: o apóstolo da América. Indíos e Jesuítas em uma história de apropriações e ressignificações")</f>
        <v>Tomé: o apóstolo da América. Indíos e Jesuítas em uma história de apropriações e ressignificações</v>
      </c>
      <c r="B850" s="24" t="str">
        <f>IFERROR(__xludf.DUMMYFUNCTION("""COMPUTED_VALUE"""),"Thiago Leandro Vieira Cavalcante")</f>
        <v>Thiago Leandro Vieira Cavalcante</v>
      </c>
      <c r="C850" s="24" t="str">
        <f>IFERROR(__xludf.DUMMYFUNCTION("""COMPUTED_VALUE"""),"Dourados, MS")</f>
        <v>Dourados, MS</v>
      </c>
      <c r="D850" s="24" t="str">
        <f>IFERROR(__xludf.DUMMYFUNCTION("""COMPUTED_VALUE"""),"Ed. da UFGD")</f>
        <v>Ed. da UFGD</v>
      </c>
      <c r="E850" s="25">
        <f>IFERROR(__xludf.DUMMYFUNCTION("""COMPUTED_VALUE"""),2009.0)</f>
        <v>2009</v>
      </c>
      <c r="F850" s="24" t="str">
        <f>IFERROR(__xludf.DUMMYFUNCTION("""COMPUTED_VALUE"""),"Missões Jesuíticas – Brasil; História cultural; História indígena; São Tomé – Pregação do evangelho - Indígena")</f>
        <v>Missões Jesuíticas – Brasil; História cultural; História indígena; São Tomé – Pregação do evangelho - Indígena</v>
      </c>
      <c r="G850" s="28" t="str">
        <f>IFERROR(__xludf.DUMMYFUNCTION("""COMPUTED_VALUE"""),"9788561228484")</f>
        <v>9788561228484</v>
      </c>
      <c r="H850" s="29" t="str">
        <f>IFERROR(__xludf.DUMMYFUNCTION("""COMPUTED_VALUE"""),"http://omp.ufgd.edu.br/omp/index.php/livrosabertos/catalog/view/37/27/89-1")</f>
        <v>http://omp.ufgd.edu.br/omp/index.php/livrosabertos/catalog/view/37/27/89-1</v>
      </c>
      <c r="I850" s="24" t="str">
        <f>IFERROR(__xludf.DUMMYFUNCTION("""COMPUTED_VALUE"""),"Ciências Humanas")</f>
        <v>Ciências Humanas</v>
      </c>
    </row>
    <row r="851">
      <c r="A851" s="24" t="str">
        <f>IFERROR(__xludf.DUMMYFUNCTION("""COMPUTED_VALUE"""),"Tópicos especiais em Geografia")</f>
        <v>Tópicos especiais em Geografia</v>
      </c>
      <c r="B851" s="24" t="str">
        <f>IFERROR(__xludf.DUMMYFUNCTION("""COMPUTED_VALUE"""),"ORGANIZADORES; Alexsande de Oliveira Franco; Francisco Ivam Castro do Nascimento; Waldemir Lima dos Santos")</f>
        <v>ORGANIZADORES; Alexsande de Oliveira Franco; Francisco Ivam Castro do Nascimento; Waldemir Lima dos Santos</v>
      </c>
      <c r="C851" s="24" t="str">
        <f>IFERROR(__xludf.DUMMYFUNCTION("""COMPUTED_VALUE"""),"Rio Branco")</f>
        <v>Rio Branco</v>
      </c>
      <c r="D851" s="24" t="str">
        <f>IFERROR(__xludf.DUMMYFUNCTION("""COMPUTED_VALUE"""),"Edufac")</f>
        <v>Edufac</v>
      </c>
      <c r="E851" s="25">
        <f>IFERROR(__xludf.DUMMYFUNCTION("""COMPUTED_VALUE"""),2019.0)</f>
        <v>2019</v>
      </c>
      <c r="F851" s="24" t="str">
        <f>IFERROR(__xludf.DUMMYFUNCTION("""COMPUTED_VALUE"""),"Geografia; Amazônia; Desenvolvimento")</f>
        <v>Geografia; Amazônia; Desenvolvimento</v>
      </c>
      <c r="G851" s="28" t="str">
        <f>IFERROR(__xludf.DUMMYFUNCTION("""COMPUTED_VALUE"""),"9788582360965")</f>
        <v>9788582360965</v>
      </c>
      <c r="H851" s="29" t="str">
        <f>IFERROR(__xludf.DUMMYFUNCTION("""COMPUTED_VALUE"""),"http://www2.ufac.br/editora/livros/TopicosEspeciaisEmGeografia.pdf")</f>
        <v>http://www2.ufac.br/editora/livros/TopicosEspeciaisEmGeografia.pdf</v>
      </c>
      <c r="I851" s="24" t="str">
        <f>IFERROR(__xludf.DUMMYFUNCTION("""COMPUTED_VALUE"""),"Ciências Humanas")</f>
        <v>Ciências Humanas</v>
      </c>
    </row>
    <row r="852">
      <c r="A852" s="24" t="str">
        <f>IFERROR(__xludf.DUMMYFUNCTION("""COMPUTED_VALUE"""),"Tornar-se aluno : identidade e pertencimento: perspectivas etnográficas")</f>
        <v>Tornar-se aluno : identidade e pertencimento: perspectivas etnográficas</v>
      </c>
      <c r="B852" s="24" t="str">
        <f>IFERROR(__xludf.DUMMYFUNCTION("""COMPUTED_VALUE"""),"Paula Almeida de Castro")</f>
        <v>Paula Almeida de Castro</v>
      </c>
      <c r="C852" s="24" t="str">
        <f>IFERROR(__xludf.DUMMYFUNCTION("""COMPUTED_VALUE"""),"Campina Grande")</f>
        <v>Campina Grande</v>
      </c>
      <c r="D852" s="24" t="str">
        <f>IFERROR(__xludf.DUMMYFUNCTION("""COMPUTED_VALUE"""),"EDUEPB")</f>
        <v>EDUEPB</v>
      </c>
      <c r="E852" s="25">
        <f>IFERROR(__xludf.DUMMYFUNCTION("""COMPUTED_VALUE"""),2015.0)</f>
        <v>2015</v>
      </c>
      <c r="F852" s="24" t="str">
        <f>IFERROR(__xludf.DUMMYFUNCTION("""COMPUTED_VALUE"""),"Educação inclusiva. Aluno. Escola. Ensino - aprendizagem")</f>
        <v>Educação inclusiva. Aluno. Escola. Ensino - aprendizagem</v>
      </c>
      <c r="G852" s="28" t="str">
        <f>IFERROR(__xludf.DUMMYFUNCTION("""COMPUTED_VALUE"""),"9788578792497")</f>
        <v>9788578792497</v>
      </c>
      <c r="H852" s="29" t="str">
        <f>IFERROR(__xludf.DUMMYFUNCTION("""COMPUTED_VALUE"""),"http://eduepb.uepb.edu.br/download/tornar-se-aluno-identidade-e-pertencimento-perspectivas-etnograficas/?wpdmdl=222&amp;amp;masterkey=5af9a28f5ba21")</f>
        <v>http://eduepb.uepb.edu.br/download/tornar-se-aluno-identidade-e-pertencimento-perspectivas-etnograficas/?wpdmdl=222&amp;amp;masterkey=5af9a28f5ba21</v>
      </c>
      <c r="I852" s="24" t="str">
        <f>IFERROR(__xludf.DUMMYFUNCTION("""COMPUTED_VALUE"""),"Ciências Humanas")</f>
        <v>Ciências Humanas</v>
      </c>
    </row>
    <row r="853">
      <c r="A853" s="24" t="str">
        <f>IFERROR(__xludf.DUMMYFUNCTION("""COMPUTED_VALUE"""),"Trabalhadores, migrações e natureza no Brasil equatorial")</f>
        <v>Trabalhadores, migrações e natureza no Brasil equatorial</v>
      </c>
      <c r="B853" s="24" t="str">
        <f>IFERROR(__xludf.DUMMYFUNCTION("""COMPUTED_VALUE"""),"Adalberto Paz; Alexandre Cardoso; Lara de Castro (org.)")</f>
        <v>Adalberto Paz; Alexandre Cardoso; Lara de Castro (org.)</v>
      </c>
      <c r="C853" s="24" t="str">
        <f>IFERROR(__xludf.DUMMYFUNCTION("""COMPUTED_VALUE"""),"Macapá")</f>
        <v>Macapá</v>
      </c>
      <c r="D853" s="24" t="str">
        <f>IFERROR(__xludf.DUMMYFUNCTION("""COMPUTED_VALUE"""),"UNIFAP")</f>
        <v>UNIFAP</v>
      </c>
      <c r="E853" s="25">
        <f>IFERROR(__xludf.DUMMYFUNCTION("""COMPUTED_VALUE"""),2018.0)</f>
        <v>2018</v>
      </c>
      <c r="F853" s="24" t="str">
        <f>IFERROR(__xludf.DUMMYFUNCTION("""COMPUTED_VALUE"""),"Trabalhadores; Migrações; Brasil Equatorial")</f>
        <v>Trabalhadores; Migrações; Brasil Equatorial</v>
      </c>
      <c r="G853" s="28" t="str">
        <f>IFERROR(__xludf.DUMMYFUNCTION("""COMPUTED_VALUE"""),"9788554760168")</f>
        <v>9788554760168</v>
      </c>
      <c r="H853" s="29" t="str">
        <f>IFERROR(__xludf.DUMMYFUNCTION("""COMPUTED_VALUE"""),"https://www2.unifap.br/editora/files/2018/05/Livro-Trabalhadores-Migra%c3%a7%c3%b5es-e-Natureza-no-Brasil-Equatorial.pdf")</f>
        <v>https://www2.unifap.br/editora/files/2018/05/Livro-Trabalhadores-Migra%c3%a7%c3%b5es-e-Natureza-no-Brasil-Equatorial.pdf</v>
      </c>
      <c r="I853" s="24" t="str">
        <f>IFERROR(__xludf.DUMMYFUNCTION("""COMPUTED_VALUE"""),"Ciências Humanas")</f>
        <v>Ciências Humanas</v>
      </c>
    </row>
    <row r="854">
      <c r="A854" s="24" t="str">
        <f>IFERROR(__xludf.DUMMYFUNCTION("""COMPUTED_VALUE"""),"Trabalhar e Estudar, Eis a Questão: Os desafios enfrentados pelos estudantes trabalhadores da Universidade Federal de Ouro Preto")</f>
        <v>Trabalhar e Estudar, Eis a Questão: Os desafios enfrentados pelos estudantes trabalhadores da Universidade Federal de Ouro Preto</v>
      </c>
      <c r="B854" s="24" t="str">
        <f>IFERROR(__xludf.DUMMYFUNCTION("""COMPUTED_VALUE"""),"Lucinea de Souza Pereira")</f>
        <v>Lucinea de Souza Pereira</v>
      </c>
      <c r="C854" s="24" t="str">
        <f>IFERROR(__xludf.DUMMYFUNCTION("""COMPUTED_VALUE"""),"Ouro Preto")</f>
        <v>Ouro Preto</v>
      </c>
      <c r="D854" s="24" t="str">
        <f>IFERROR(__xludf.DUMMYFUNCTION("""COMPUTED_VALUE"""),"UFOP")</f>
        <v>UFOP</v>
      </c>
      <c r="E854" s="25">
        <f>IFERROR(__xludf.DUMMYFUNCTION("""COMPUTED_VALUE"""),2018.0)</f>
        <v>2018</v>
      </c>
      <c r="F854" s="24" t="str">
        <f>IFERROR(__xludf.DUMMYFUNCTION("""COMPUTED_VALUE"""),"Educação e Estado. Sociologia educacional. Ensino superior. Educação popular")</f>
        <v>Educação e Estado. Sociologia educacional. Ensino superior. Educação popular</v>
      </c>
      <c r="G854" s="28" t="str">
        <f>IFERROR(__xludf.DUMMYFUNCTION("""COMPUTED_VALUE"""),"9788528803648")</f>
        <v>9788528803648</v>
      </c>
      <c r="H854" s="29" t="str">
        <f>IFERROR(__xludf.DUMMYFUNCTION("""COMPUTED_VALUE"""),"https://www.editora.ufop.br/index.php/editora/catalog/view/148/118/387-1")</f>
        <v>https://www.editora.ufop.br/index.php/editora/catalog/view/148/118/387-1</v>
      </c>
      <c r="I854" s="24" t="str">
        <f>IFERROR(__xludf.DUMMYFUNCTION("""COMPUTED_VALUE"""),"Ciências Humanas")</f>
        <v>Ciências Humanas</v>
      </c>
    </row>
    <row r="855">
      <c r="A855" s="24" t="str">
        <f>IFERROR(__xludf.DUMMYFUNCTION("""COMPUTED_VALUE"""),"Trabalho docente e poder de agir: clínica da atividade, devires e análises")</f>
        <v>Trabalho docente e poder de agir: clínica da atividade, devires e análises</v>
      </c>
      <c r="B855" s="24" t="str">
        <f>IFERROR(__xludf.DUMMYFUNCTION("""COMPUTED_VALUE"""),"Dulcinea Sarmento Rosemberg, Jair Ronchi Filho, Maria Elizabeth Barros (org.)")</f>
        <v>Dulcinea Sarmento Rosemberg, Jair Ronchi Filho, Maria Elizabeth Barros (org.)</v>
      </c>
      <c r="C855" s="24" t="str">
        <f>IFERROR(__xludf.DUMMYFUNCTION("""COMPUTED_VALUE"""),"Vitória")</f>
        <v>Vitória</v>
      </c>
      <c r="D855" s="24" t="str">
        <f>IFERROR(__xludf.DUMMYFUNCTION("""COMPUTED_VALUE"""),"EDUFES")</f>
        <v>EDUFES</v>
      </c>
      <c r="E855" s="25">
        <f>IFERROR(__xludf.DUMMYFUNCTION("""COMPUTED_VALUE"""),2014.0)</f>
        <v>2014</v>
      </c>
      <c r="F855" s="24" t="str">
        <f>IFERROR(__xludf.DUMMYFUNCTION("""COMPUTED_VALUE"""),"Psicologia do Trabalho; Clinica da atividade; Trabalho docente; Método de pesquisa ")</f>
        <v>Psicologia do Trabalho; Clinica da atividade; Trabalho docente; Método de pesquisa </v>
      </c>
      <c r="G855" s="28" t="str">
        <f>IFERROR(__xludf.DUMMYFUNCTION("""COMPUTED_VALUE"""),"9788577722334")</f>
        <v>9788577722334</v>
      </c>
      <c r="H855" s="29" t="str">
        <f>IFERROR(__xludf.DUMMYFUNCTION("""COMPUTED_VALUE"""),"http://repositorio.ufes.br/handle/10/850")</f>
        <v>http://repositorio.ufes.br/handle/10/850</v>
      </c>
      <c r="I855" s="24" t="str">
        <f>IFERROR(__xludf.DUMMYFUNCTION("""COMPUTED_VALUE"""),"Ciências Humanas")</f>
        <v>Ciências Humanas</v>
      </c>
    </row>
    <row r="856">
      <c r="A856" s="24" t="str">
        <f>IFERROR(__xludf.DUMMYFUNCTION("""COMPUTED_VALUE"""),"Trabalho e Trabalhadores No Nordeste")</f>
        <v>Trabalho e Trabalhadores No Nordeste</v>
      </c>
      <c r="B856" s="24" t="str">
        <f>IFERROR(__xludf.DUMMYFUNCTION("""COMPUTED_VALUE"""),"Tiago Bernardon de Oliveira (org.)")</f>
        <v>Tiago Bernardon de Oliveira (org.)</v>
      </c>
      <c r="C856" s="24" t="str">
        <f>IFERROR(__xludf.DUMMYFUNCTION("""COMPUTED_VALUE"""),"Campina Grande")</f>
        <v>Campina Grande</v>
      </c>
      <c r="D856" s="24" t="str">
        <f>IFERROR(__xludf.DUMMYFUNCTION("""COMPUTED_VALUE"""),"EDUEPB")</f>
        <v>EDUEPB</v>
      </c>
      <c r="E856" s="25">
        <f>IFERROR(__xludf.DUMMYFUNCTION("""COMPUTED_VALUE"""),2015.0)</f>
        <v>2015</v>
      </c>
      <c r="F856" s="24" t="str">
        <f>IFERROR(__xludf.DUMMYFUNCTION("""COMPUTED_VALUE"""),"História. História do Brasil. História social do trabalho. Trabalho e trabalhadores do Nordeste. Classe trabalhadora")</f>
        <v>História. História do Brasil. História social do trabalho. Trabalho e trabalhadores do Nordeste. Classe trabalhadora</v>
      </c>
      <c r="G856" s="28" t="str">
        <f>IFERROR(__xludf.DUMMYFUNCTION("""COMPUTED_VALUE"""),"9788578792893")</f>
        <v>9788578792893</v>
      </c>
      <c r="H856" s="29" t="str">
        <f>IFERROR(__xludf.DUMMYFUNCTION("""COMPUTED_VALUE"""),"http://eduepb.uepb.edu.br/download/trabalho-e-trabalhadores-no-nordeste/?wpdmdl=223&amp;amp;masterkey=5af9a2af83ed3")</f>
        <v>http://eduepb.uepb.edu.br/download/trabalho-e-trabalhadores-no-nordeste/?wpdmdl=223&amp;amp;masterkey=5af9a2af83ed3</v>
      </c>
      <c r="I856" s="24" t="str">
        <f>IFERROR(__xludf.DUMMYFUNCTION("""COMPUTED_VALUE"""),"Ciências Humanas")</f>
        <v>Ciências Humanas</v>
      </c>
    </row>
    <row r="857">
      <c r="A857" s="24" t="str">
        <f>IFERROR(__xludf.DUMMYFUNCTION("""COMPUTED_VALUE"""),"Trabalho, igreja e boteco: identidades em transformação entre descendentes de pomeranos no interior do Espírito Santo")</f>
        <v>Trabalho, igreja e boteco: identidades em transformação entre descendentes de pomeranos no interior do Espírito Santo</v>
      </c>
      <c r="B857" s="24" t="str">
        <f>IFERROR(__xludf.DUMMYFUNCTION("""COMPUTED_VALUE"""),"Jamily Fehlberg, Paulo Rogério Meira Menandro")</f>
        <v>Jamily Fehlberg, Paulo Rogério Meira Menandro</v>
      </c>
      <c r="C857" s="24" t="str">
        <f>IFERROR(__xludf.DUMMYFUNCTION("""COMPUTED_VALUE"""),"Vitória")</f>
        <v>Vitória</v>
      </c>
      <c r="D857" s="24" t="str">
        <f>IFERROR(__xludf.DUMMYFUNCTION("""COMPUTED_VALUE"""),"EDUFES")</f>
        <v>EDUFES</v>
      </c>
      <c r="E857" s="25">
        <f>IFERROR(__xludf.DUMMYFUNCTION("""COMPUTED_VALUE"""),2015.0)</f>
        <v>2015</v>
      </c>
      <c r="F857" s="24" t="str">
        <f>IFERROR(__xludf.DUMMYFUNCTION("""COMPUTED_VALUE"""),"Migração; Pomerânios; Aspectos sociais; Cultura; Identidade social")</f>
        <v>Migração; Pomerânios; Aspectos sociais; Cultura; Identidade social</v>
      </c>
      <c r="G857" s="28" t="str">
        <f>IFERROR(__xludf.DUMMYFUNCTION("""COMPUTED_VALUE"""),"9788577722600")</f>
        <v>9788577722600</v>
      </c>
      <c r="H857" s="29" t="str">
        <f>IFERROR(__xludf.DUMMYFUNCTION("""COMPUTED_VALUE"""),"http://repositorio.ufes.br/handle/10/6760")</f>
        <v>http://repositorio.ufes.br/handle/10/6760</v>
      </c>
      <c r="I857" s="24" t="str">
        <f>IFERROR(__xludf.DUMMYFUNCTION("""COMPUTED_VALUE"""),"Ciências Humanas")</f>
        <v>Ciências Humanas</v>
      </c>
    </row>
    <row r="858">
      <c r="A858" s="24" t="str">
        <f>IFERROR(__xludf.DUMMYFUNCTION("""COMPUTED_VALUE"""),"Tradição, nacionalismo e modernidade: o Monumento Duque de Caxias*")</f>
        <v>Tradição, nacionalismo e modernidade: o Monumento Duque de Caxias*</v>
      </c>
      <c r="B858" s="24" t="str">
        <f>IFERROR(__xludf.DUMMYFUNCTION("""COMPUTED_VALUE"""),"Ana Carolina Fróes Ribeiro Lopes")</f>
        <v>Ana Carolina Fróes Ribeiro Lopes</v>
      </c>
      <c r="C858" s="24" t="str">
        <f>IFERROR(__xludf.DUMMYFUNCTION("""COMPUTED_VALUE"""),"São Carlos")</f>
        <v>São Carlos</v>
      </c>
      <c r="D858" s="24" t="str">
        <f>IFERROR(__xludf.DUMMYFUNCTION("""COMPUTED_VALUE"""),"EdUFSCar")</f>
        <v>EdUFSCar</v>
      </c>
      <c r="E858" s="25">
        <f>IFERROR(__xludf.DUMMYFUNCTION("""COMPUTED_VALUE"""),2017.0)</f>
        <v>2017</v>
      </c>
      <c r="F858" s="24" t="str">
        <f>IFERROR(__xludf.DUMMYFUNCTION("""COMPUTED_VALUE"""),"Monumentos; Duque de Caxias; Identidade nacional;. Tradição")</f>
        <v>Monumentos; Duque de Caxias; Identidade nacional;. Tradição</v>
      </c>
      <c r="G858" s="28" t="str">
        <f>IFERROR(__xludf.DUMMYFUNCTION("""COMPUTED_VALUE"""),"9788576004967")</f>
        <v>9788576004967</v>
      </c>
      <c r="H858" s="29" t="str">
        <f>IFERROR(__xludf.DUMMYFUNCTION("""COMPUTED_VALUE"""),"https://www.edufscar.com.br/farol/edufscar/ebook/tradicao-nacionalismo-e-modernidade-o-monumento-duque-de-caxias/193874/")</f>
        <v>https://www.edufscar.com.br/farol/edufscar/ebook/tradicao-nacionalismo-e-modernidade-o-monumento-duque-de-caxias/193874/</v>
      </c>
      <c r="I858" s="24" t="str">
        <f>IFERROR(__xludf.DUMMYFUNCTION("""COMPUTED_VALUE"""),"Ciências Humanas")</f>
        <v>Ciências Humanas</v>
      </c>
    </row>
    <row r="859">
      <c r="A859" s="24" t="str">
        <f>IFERROR(__xludf.DUMMYFUNCTION("""COMPUTED_VALUE"""),"Tradições da terra: memórias, sonhos e desafios das comunidades quilombolas do cerrado goiano")</f>
        <v>Tradições da terra: memórias, sonhos e desafios das comunidades quilombolas do cerrado goiano</v>
      </c>
      <c r="B859" s="24" t="str">
        <f>IFERROR(__xludf.DUMMYFUNCTION("""COMPUTED_VALUE"""),"Brasil. Instituto Federal de Educação, Ciência e Tecnologia de Goiás")</f>
        <v>Brasil. Instituto Federal de Educação, Ciência e Tecnologia de Goiás</v>
      </c>
      <c r="C859" s="24" t="str">
        <f>IFERROR(__xludf.DUMMYFUNCTION("""COMPUTED_VALUE"""),"Goiânia, GO")</f>
        <v>Goiânia, GO</v>
      </c>
      <c r="D859" s="24" t="str">
        <f>IFERROR(__xludf.DUMMYFUNCTION("""COMPUTED_VALUE"""),"Editora IFG")</f>
        <v>Editora IFG</v>
      </c>
      <c r="E859" s="25">
        <f>IFERROR(__xludf.DUMMYFUNCTION("""COMPUTED_VALUE"""),2016.0)</f>
        <v>2016</v>
      </c>
      <c r="F859" s="24" t="str">
        <f>IFERROR(__xludf.DUMMYFUNCTION("""COMPUTED_VALUE"""),"Comunidade; Quilombola; Extensão; Cultura; Memória")</f>
        <v>Comunidade; Quilombola; Extensão; Cultura; Memória</v>
      </c>
      <c r="G859" s="28" t="str">
        <f>IFERROR(__xludf.DUMMYFUNCTION("""COMPUTED_VALUE"""),"9788567022185")</f>
        <v>9788567022185</v>
      </c>
      <c r="H859" s="29" t="str">
        <f>IFERROR(__xludf.DUMMYFUNCTION("""COMPUTED_VALUE"""),"https://editora.ifg.edu.br/editoraifg/catalog/view/14/13/40-1")</f>
        <v>https://editora.ifg.edu.br/editoraifg/catalog/view/14/13/40-1</v>
      </c>
      <c r="I859" s="24" t="str">
        <f>IFERROR(__xludf.DUMMYFUNCTION("""COMPUTED_VALUE"""),"Ciências Humanas")</f>
        <v>Ciências Humanas</v>
      </c>
    </row>
    <row r="860">
      <c r="A860" s="24" t="str">
        <f>IFERROR(__xludf.DUMMYFUNCTION("""COMPUTED_VALUE"""),"Traje e a aparência nos autos de Gil Vicente")</f>
        <v>Traje e a aparência nos autos de Gil Vicente</v>
      </c>
      <c r="B860" s="24" t="str">
        <f>IFERROR(__xludf.DUMMYFUNCTION("""COMPUTED_VALUE"""),"ENEIDA BOMFIM")</f>
        <v>ENEIDA BOMFIM</v>
      </c>
      <c r="C860" s="24" t="str">
        <f>IFERROR(__xludf.DUMMYFUNCTION("""COMPUTED_VALUE"""),"Rio de Janeiro")</f>
        <v>Rio de Janeiro</v>
      </c>
      <c r="D860" s="24" t="str">
        <f>IFERROR(__xludf.DUMMYFUNCTION("""COMPUTED_VALUE"""),"Editora PUC Rio")</f>
        <v>Editora PUC Rio</v>
      </c>
      <c r="E860" s="25">
        <f>IFERROR(__xludf.DUMMYFUNCTION("""COMPUTED_VALUE"""),2008.0)</f>
        <v>2008</v>
      </c>
      <c r="F860" s="24" t="str">
        <f>IFERROR(__xludf.DUMMYFUNCTION("""COMPUTED_VALUE"""),"Vicente, Gil, ca. 1470 - ca. 1536 - Crítica; textual. Trajes - Portugal - História")</f>
        <v>Vicente, Gil, ca. 1470 - ca. 1536 - Crítica; textual. Trajes - Portugal - História</v>
      </c>
      <c r="G860" s="28" t="str">
        <f>IFERROR(__xludf.DUMMYFUNCTION("""COMPUTED_VALUE"""),"9788587926326")</f>
        <v>9788587926326</v>
      </c>
      <c r="H860" s="29" t="str">
        <f>IFERROR(__xludf.DUMMYFUNCTION("""COMPUTED_VALUE"""),"http://www.editora.puc-rio.br/media/ebook_traje_aparencia.pdf")</f>
        <v>http://www.editora.puc-rio.br/media/ebook_traje_aparencia.pdf</v>
      </c>
      <c r="I860" s="24" t="str">
        <f>IFERROR(__xludf.DUMMYFUNCTION("""COMPUTED_VALUE"""),"Ciências Humanas")</f>
        <v>Ciências Humanas</v>
      </c>
    </row>
    <row r="861">
      <c r="A861" s="24" t="str">
        <f>IFERROR(__xludf.DUMMYFUNCTION("""COMPUTED_VALUE"""),"Trajetória, permanência e transformações têmporoespaciais na cidade de Camacan/BA: interfaces com a crise da cacauicultura")</f>
        <v>Trajetória, permanência e transformações têmporoespaciais na cidade de Camacan/BA: interfaces com a crise da cacauicultura</v>
      </c>
      <c r="B861" s="24" t="str">
        <f>IFERROR(__xludf.DUMMYFUNCTION("""COMPUTED_VALUE"""),"Clarice Gonçalves S. de Oliveira, Gilmar Alves; Trindade, Maria Helena Gramacho")</f>
        <v>Clarice Gonçalves S. de Oliveira, Gilmar Alves; Trindade, Maria Helena Gramacho</v>
      </c>
      <c r="C861" s="24" t="str">
        <f>IFERROR(__xludf.DUMMYFUNCTION("""COMPUTED_VALUE"""),"Ilhéus, BA")</f>
        <v>Ilhéus, BA</v>
      </c>
      <c r="D861" s="24" t="str">
        <f>IFERROR(__xludf.DUMMYFUNCTION("""COMPUTED_VALUE"""),"Editus")</f>
        <v>Editus</v>
      </c>
      <c r="E861" s="25">
        <f>IFERROR(__xludf.DUMMYFUNCTION("""COMPUTED_VALUE"""),2009.0)</f>
        <v>2009</v>
      </c>
      <c r="F861" s="24" t="str">
        <f>IFERROR(__xludf.DUMMYFUNCTION("""COMPUTED_VALUE"""),"Camacan (BA) – Aspectos econômicos e sociais; Cacauicultura – Camacan (BA); Camacan (BA) – História; Cacau – Comércio – Camacan (BA)")</f>
        <v>Camacan (BA) – Aspectos econômicos e sociais; Cacauicultura – Camacan (BA); Camacan (BA) – História; Cacau – Comércio – Camacan (BA)</v>
      </c>
      <c r="G861" s="28" t="str">
        <f>IFERROR(__xludf.DUMMYFUNCTION("""COMPUTED_VALUE"""),"9788574551579")</f>
        <v>9788574551579</v>
      </c>
      <c r="H861" s="29" t="str">
        <f>IFERROR(__xludf.DUMMYFUNCTION("""COMPUTED_VALUE"""),"http://www.uesc.br/editora/livrosdigitais2016/trajetoria_permanencias_transformacoes_temporo_espaciais_cidade_Camacan.pdf")</f>
        <v>http://www.uesc.br/editora/livrosdigitais2016/trajetoria_permanencias_transformacoes_temporo_espaciais_cidade_Camacan.pdf</v>
      </c>
      <c r="I861" s="24" t="str">
        <f>IFERROR(__xludf.DUMMYFUNCTION("""COMPUTED_VALUE"""),"Ciências Humanas")</f>
        <v>Ciências Humanas</v>
      </c>
    </row>
    <row r="862">
      <c r="A862" s="24" t="str">
        <f>IFERROR(__xludf.DUMMYFUNCTION("""COMPUTED_VALUE"""),"Trajetórias de vida entre a democracia e a ditadura. Caderno Didático")</f>
        <v>Trajetórias de vida entre a democracia e a ditadura. Caderno Didático</v>
      </c>
      <c r="B862" s="24" t="str">
        <f>IFERROR(__xludf.DUMMYFUNCTION("""COMPUTED_VALUE"""),"Jorge Ferreira; Juniele Rabelo de Almeida; Samantha Viz Quadrat (org.)")</f>
        <v>Jorge Ferreira; Juniele Rabelo de Almeida; Samantha Viz Quadrat (org.)</v>
      </c>
      <c r="C862" s="24" t="str">
        <f>IFERROR(__xludf.DUMMYFUNCTION("""COMPUTED_VALUE"""),"Niterói, RJ")</f>
        <v>Niterói, RJ</v>
      </c>
      <c r="D862" s="24" t="str">
        <f>IFERROR(__xludf.DUMMYFUNCTION("""COMPUTED_VALUE"""),"EdUFF")</f>
        <v>EdUFF</v>
      </c>
      <c r="E862" s="25">
        <f>IFERROR(__xludf.DUMMYFUNCTION("""COMPUTED_VALUE"""),2019.0)</f>
        <v>2019</v>
      </c>
      <c r="F862" s="24" t="str">
        <f>IFERROR(__xludf.DUMMYFUNCTION("""COMPUTED_VALUE"""),"República - Brasil; Ditadura - Brasil; Democracia - Brasil")</f>
        <v>República - Brasil; Ditadura - Brasil; Democracia - Brasil</v>
      </c>
      <c r="G862" s="28" t="str">
        <f>IFERROR(__xludf.DUMMYFUNCTION("""COMPUTED_VALUE"""),"9788522813650")</f>
        <v>9788522813650</v>
      </c>
      <c r="H862" s="29" t="str">
        <f>IFERROR(__xludf.DUMMYFUNCTION("""COMPUTED_VALUE"""),"https://drive.google.com/file/d/1ywqdQbEdruoz68itZ8XnbN-wTKysKlRT/view")</f>
        <v>https://drive.google.com/file/d/1ywqdQbEdruoz68itZ8XnbN-wTKysKlRT/view</v>
      </c>
      <c r="I862" s="24" t="str">
        <f>IFERROR(__xludf.DUMMYFUNCTION("""COMPUTED_VALUE"""),"Ciências Humanas")</f>
        <v>Ciências Humanas</v>
      </c>
    </row>
    <row r="863">
      <c r="A863" s="24" t="str">
        <f>IFERROR(__xludf.DUMMYFUNCTION("""COMPUTED_VALUE"""),"Tramas para a justiça ambiental: diálogo de saberes e práxis emancipatórias")</f>
        <v>Tramas para a justiça ambiental: diálogo de saberes e práxis emancipatórias</v>
      </c>
      <c r="B863" s="24" t="str">
        <f>IFERROR(__xludf.DUMMYFUNCTION("""COMPUTED_VALUE"""),"Raquel Maria Rigotto; Ada Cristina Pontes Aguiar; Lívia Alves Dias Ribeiro; (Organizadoras)")</f>
        <v>Raquel Maria Rigotto; Ada Cristina Pontes Aguiar; Lívia Alves Dias Ribeiro; (Organizadoras)</v>
      </c>
      <c r="C863" s="24" t="str">
        <f>IFERROR(__xludf.DUMMYFUNCTION("""COMPUTED_VALUE"""),"Fortaleza, CE")</f>
        <v>Fortaleza, CE</v>
      </c>
      <c r="D863" s="24" t="str">
        <f>IFERROR(__xludf.DUMMYFUNCTION("""COMPUTED_VALUE"""),"Edições UFC")</f>
        <v>Edições UFC</v>
      </c>
      <c r="E863" s="25">
        <f>IFERROR(__xludf.DUMMYFUNCTION("""COMPUTED_VALUE"""),2018.0)</f>
        <v>2018</v>
      </c>
      <c r="F863" s="24" t="str">
        <f>IFERROR(__xludf.DUMMYFUNCTION("""COMPUTED_VALUE"""),"Justiça ambiental. Ciência emancipatória. Universidade e Sociedade. Diálogos de saberes. Conflitos ambientais")</f>
        <v>Justiça ambiental. Ciência emancipatória. Universidade e Sociedade. Diálogos de saberes. Conflitos ambientais</v>
      </c>
      <c r="G863" s="28" t="str">
        <f>IFERROR(__xludf.DUMMYFUNCTION("""COMPUTED_VALUE"""),"9788572827553")</f>
        <v>9788572827553</v>
      </c>
      <c r="H863" s="29" t="str">
        <f>IFERROR(__xludf.DUMMYFUNCTION("""COMPUTED_VALUE"""),"http://www.editora.ufc.br/catalogo/84-meio-ambiente/942-temas-para-a-justica-ambiental-dialogo-de-saberes-e-praxis-emancipatorias")</f>
        <v>http://www.editora.ufc.br/catalogo/84-meio-ambiente/942-temas-para-a-justica-ambiental-dialogo-de-saberes-e-praxis-emancipatorias</v>
      </c>
      <c r="I863" s="24" t="str">
        <f>IFERROR(__xludf.DUMMYFUNCTION("""COMPUTED_VALUE"""),"Ciências Humanas")</f>
        <v>Ciências Humanas</v>
      </c>
    </row>
    <row r="864">
      <c r="A864" s="24" t="str">
        <f>IFERROR(__xludf.DUMMYFUNCTION("""COMPUTED_VALUE"""),"Transfazer o espaço: ensaios sobre literaturas nômades em metamorfoses de espaços, tempos e sujeitos andarilhos.")</f>
        <v>Transfazer o espaço: ensaios sobre literaturas nômades em metamorfoses de espaços, tempos e sujeitos andarilhos.</v>
      </c>
      <c r="B864" s="24" t="str">
        <f>IFERROR(__xludf.DUMMYFUNCTION("""COMPUTED_VALUE"""),"(org.) Jones Dari Goettert, Walter Marschner; ")</f>
        <v>(org.) Jones Dari Goettert, Walter Marschner; </v>
      </c>
      <c r="C864" s="24" t="str">
        <f>IFERROR(__xludf.DUMMYFUNCTION("""COMPUTED_VALUE"""),"Dourados, MS")</f>
        <v>Dourados, MS</v>
      </c>
      <c r="D864" s="24" t="str">
        <f>IFERROR(__xludf.DUMMYFUNCTION("""COMPUTED_VALUE"""),"Ed. da UFGD")</f>
        <v>Ed. da UFGD</v>
      </c>
      <c r="E864" s="25">
        <f>IFERROR(__xludf.DUMMYFUNCTION("""COMPUTED_VALUE"""),2016.0)</f>
        <v>2016</v>
      </c>
      <c r="F864" s="24" t="str">
        <f>IFERROR(__xludf.DUMMYFUNCTION("""COMPUTED_VALUE"""),"Geografia; Espaço; Literatura")</f>
        <v>Geografia; Espaço; Literatura</v>
      </c>
      <c r="G864" s="28" t="str">
        <f>IFERROR(__xludf.DUMMYFUNCTION("""COMPUTED_VALUE"""),"9788581471235")</f>
        <v>9788581471235</v>
      </c>
      <c r="H864" s="29" t="str">
        <f>IFERROR(__xludf.DUMMYFUNCTION("""COMPUTED_VALUE"""),"http://omp.ufgd.edu.br/omp/index.php/livrosabertos/catalog/view/25/23/72-1")</f>
        <v>http://omp.ufgd.edu.br/omp/index.php/livrosabertos/catalog/view/25/23/72-1</v>
      </c>
      <c r="I864" s="24" t="str">
        <f>IFERROR(__xludf.DUMMYFUNCTION("""COMPUTED_VALUE"""),"Ciências Humanas")</f>
        <v>Ciências Humanas</v>
      </c>
    </row>
    <row r="865">
      <c r="A865" s="24" t="str">
        <f>IFERROR(__xludf.DUMMYFUNCTION("""COMPUTED_VALUE"""),"Transposições: lugares e fronteiras em sexualidade e educação")</f>
        <v>Transposições: lugares e fronteiras em sexualidade e educação</v>
      </c>
      <c r="B865" s="24" t="str">
        <f>IFERROR(__xludf.DUMMYFUNCTION("""COMPUTED_VALUE"""),"organização, Alexandre Rodrigues, Catarina Dallapicula, Sérgio Rodrigo da Silva Ferreira")</f>
        <v>organização, Alexandre Rodrigues, Catarina Dallapicula, Sérgio Rodrigo da Silva Ferreira</v>
      </c>
      <c r="C865" s="24" t="str">
        <f>IFERROR(__xludf.DUMMYFUNCTION("""COMPUTED_VALUE"""),"Vitória")</f>
        <v>Vitória</v>
      </c>
      <c r="D865" s="24" t="str">
        <f>IFERROR(__xludf.DUMMYFUNCTION("""COMPUTED_VALUE"""),"EDUFES")</f>
        <v>EDUFES</v>
      </c>
      <c r="E865" s="25">
        <f>IFERROR(__xludf.DUMMYFUNCTION("""COMPUTED_VALUE"""),2015.0)</f>
        <v>2015</v>
      </c>
      <c r="F865" s="24" t="str">
        <f>IFERROR(__xludf.DUMMYFUNCTION("""COMPUTED_VALUE"""),"Educação; Sexo; Comunicação")</f>
        <v>Educação; Sexo; Comunicação</v>
      </c>
      <c r="G865" s="28" t="str">
        <f>IFERROR(__xludf.DUMMYFUNCTION("""COMPUTED_VALUE"""),"9788577722341")</f>
        <v>9788577722341</v>
      </c>
      <c r="H865" s="29" t="str">
        <f>IFERROR(__xludf.DUMMYFUNCTION("""COMPUTED_VALUE"""),"http://repositorio.ufes.br/bitstream/10/1531/1/Transposicoes%20lugares%20e%20fronteiras%20em%20sexualidade%20e%20educacao.pdf")</f>
        <v>http://repositorio.ufes.br/bitstream/10/1531/1/Transposicoes%20lugares%20e%20fronteiras%20em%20sexualidade%20e%20educacao.pdf</v>
      </c>
      <c r="I865" s="24" t="str">
        <f>IFERROR(__xludf.DUMMYFUNCTION("""COMPUTED_VALUE"""),"Ciências Humanas")</f>
        <v>Ciências Humanas</v>
      </c>
    </row>
    <row r="866">
      <c r="A866" s="24" t="str">
        <f>IFERROR(__xludf.DUMMYFUNCTION("""COMPUTED_VALUE"""),"Transtorno do déicit de atenção com hiperatividade, medicina e educação: encontros e desencontros.")</f>
        <v>Transtorno do déicit de atenção com hiperatividade, medicina e educação: encontros e desencontros.</v>
      </c>
      <c r="B866" s="24" t="str">
        <f>IFERROR(__xludf.DUMMYFUNCTION("""COMPUTED_VALUE"""),"Warley Carlos de Souza")</f>
        <v>Warley Carlos de Souza</v>
      </c>
      <c r="C866" s="24" t="str">
        <f>IFERROR(__xludf.DUMMYFUNCTION("""COMPUTED_VALUE"""),"Dourados, MS")</f>
        <v>Dourados, MS</v>
      </c>
      <c r="D866" s="24" t="str">
        <f>IFERROR(__xludf.DUMMYFUNCTION("""COMPUTED_VALUE"""),"Ed. da UFGD")</f>
        <v>Ed. da UFGD</v>
      </c>
      <c r="E866" s="25">
        <f>IFERROR(__xludf.DUMMYFUNCTION("""COMPUTED_VALUE"""),2014.0)</f>
        <v>2014</v>
      </c>
      <c r="F866" s="24" t="str">
        <f>IFERROR(__xludf.DUMMYFUNCTION("""COMPUTED_VALUE"""),"TDA/H; Formação de professores; Inclusão escolar")</f>
        <v>TDA/H; Formação de professores; Inclusão escolar</v>
      </c>
      <c r="G866" s="28" t="str">
        <f>IFERROR(__xludf.DUMMYFUNCTION("""COMPUTED_VALUE"""),"9788581470924")</f>
        <v>9788581470924</v>
      </c>
      <c r="H866" s="29" t="str">
        <f>IFERROR(__xludf.DUMMYFUNCTION("""COMPUTED_VALUE"""),"http://omp.ufgd.edu.br/omp/index.php/livrosabertos/catalog/view/22/20/66-1")</f>
        <v>http://omp.ufgd.edu.br/omp/index.php/livrosabertos/catalog/view/22/20/66-1</v>
      </c>
      <c r="I866" s="24" t="str">
        <f>IFERROR(__xludf.DUMMYFUNCTION("""COMPUTED_VALUE"""),"Ciências Humanas")</f>
        <v>Ciências Humanas</v>
      </c>
    </row>
    <row r="867">
      <c r="A867" s="24" t="str">
        <f>IFERROR(__xludf.DUMMYFUNCTION("""COMPUTED_VALUE"""),"Travessia dos sentidos: estratégias de mediação multissensorial e inclusiva no Sobrado Dr. José Lourenço em Fortaleza (CE) (disponível temporariamente)")</f>
        <v>Travessia dos sentidos: estratégias de mediação multissensorial e inclusiva no Sobrado Dr. José Lourenço em Fortaleza (CE) (disponível temporariamente)</v>
      </c>
      <c r="B867" s="24" t="str">
        <f>IFERROR(__xludf.DUMMYFUNCTION("""COMPUTED_VALUE"""),"Sara Vasconcelos Cruz, Robson Xavier da Costa")</f>
        <v>Sara Vasconcelos Cruz, Robson Xavier da Costa</v>
      </c>
      <c r="C867" s="24" t="str">
        <f>IFERROR(__xludf.DUMMYFUNCTION("""COMPUTED_VALUE"""),"João Pessoa")</f>
        <v>João Pessoa</v>
      </c>
      <c r="D867" s="24" t="str">
        <f>IFERROR(__xludf.DUMMYFUNCTION("""COMPUTED_VALUE"""),"Editora da UFPB")</f>
        <v>Editora da UFPB</v>
      </c>
      <c r="E867" s="25">
        <f>IFERROR(__xludf.DUMMYFUNCTION("""COMPUTED_VALUE"""),2017.0)</f>
        <v>2017</v>
      </c>
      <c r="F867" s="24" t="str">
        <f>IFERROR(__xludf.DUMMYFUNCTION("""COMPUTED_VALUE"""),"Educação em museus; Multissensorialidade; Ações educativas")</f>
        <v>Educação em museus; Multissensorialidade; Ações educativas</v>
      </c>
      <c r="G867" s="28" t="str">
        <f>IFERROR(__xludf.DUMMYFUNCTION("""COMPUTED_VALUE"""),"9788523712952")</f>
        <v>9788523712952</v>
      </c>
      <c r="H867" s="29" t="str">
        <f>IFERROR(__xludf.DUMMYFUNCTION("""COMPUTED_VALUE"""),"http://www.editora.ufpb.br/sistema/press5/index.php/UFPB/catalog/book/521")</f>
        <v>http://www.editora.ufpb.br/sistema/press5/index.php/UFPB/catalog/book/521</v>
      </c>
      <c r="I867" s="24" t="str">
        <f>IFERROR(__xludf.DUMMYFUNCTION("""COMPUTED_VALUE"""),"Ciências Humanas")</f>
        <v>Ciências Humanas</v>
      </c>
    </row>
    <row r="868">
      <c r="A868" s="24" t="str">
        <f>IFERROR(__xludf.DUMMYFUNCTION("""COMPUTED_VALUE"""),"Travessias Atlânticas e a Paraíba afro-diaspórica: Conexões, conhecimentos e saberes : extensão, ensino e pesquisa para uma Educação das Relações Étnico-raciais - Volume 3")</f>
        <v>Travessias Atlânticas e a Paraíba afro-diaspórica: Conexões, conhecimentos e saberes : extensão, ensino e pesquisa para uma Educação das Relações Étnico-raciais - Volume 3</v>
      </c>
      <c r="B868" s="24" t="str">
        <f>IFERROR(__xludf.DUMMYFUNCTION("""COMPUTED_VALUE"""),"Solange P. Rocha; Matheus Silveira Guimarães")</f>
        <v>Solange P. Rocha; Matheus Silveira Guimarães</v>
      </c>
      <c r="C868" s="24" t="str">
        <f>IFERROR(__xludf.DUMMYFUNCTION("""COMPUTED_VALUE"""),"João Pessoa")</f>
        <v>João Pessoa</v>
      </c>
      <c r="D868" s="24" t="str">
        <f>IFERROR(__xludf.DUMMYFUNCTION("""COMPUTED_VALUE"""),"Editora da UFPB")</f>
        <v>Editora da UFPB</v>
      </c>
      <c r="E868" s="25">
        <f>IFERROR(__xludf.DUMMYFUNCTION("""COMPUTED_VALUE"""),2019.0)</f>
        <v>2019</v>
      </c>
      <c r="F868" s="24" t="str">
        <f>IFERROR(__xludf.DUMMYFUNCTION("""COMPUTED_VALUE"""),"História da Paraíba. Negros paraibanos – Resistência. Afrodescendência - Paraíba")</f>
        <v>História da Paraíba. Negros paraibanos – Resistência. Afrodescendência - Paraíba</v>
      </c>
      <c r="G868" s="28" t="str">
        <f>IFERROR(__xludf.DUMMYFUNCTION("""COMPUTED_VALUE"""),"9788523714888")</f>
        <v>9788523714888</v>
      </c>
      <c r="H868" s="29" t="str">
        <f>IFERROR(__xludf.DUMMYFUNCTION("""COMPUTED_VALUE"""),"http://www.editora.ufpb.br/sistema/press5/index.php/UFPB/catalog/book/214")</f>
        <v>http://www.editora.ufpb.br/sistema/press5/index.php/UFPB/catalog/book/214</v>
      </c>
      <c r="I868" s="24" t="str">
        <f>IFERROR(__xludf.DUMMYFUNCTION("""COMPUTED_VALUE"""),"Ciências Humanas")</f>
        <v>Ciências Humanas</v>
      </c>
    </row>
    <row r="869">
      <c r="A869" s="24" t="str">
        <f>IFERROR(__xludf.DUMMYFUNCTION("""COMPUTED_VALUE"""),"Travessias cognitivas: Áfricas reveladas - Vol. 1 (disponível temporariamente)")</f>
        <v>Travessias cognitivas: Áfricas reveladas - Vol. 1 (disponível temporariamente)</v>
      </c>
      <c r="B869" s="24" t="str">
        <f>IFERROR(__xludf.DUMMYFUNCTION("""COMPUTED_VALUE"""),"Edna Gusmão de Goés Brennand, Aloirmar José da Silva (Orgs.).")</f>
        <v>Edna Gusmão de Goés Brennand, Aloirmar José da Silva (Orgs.).</v>
      </c>
      <c r="C869" s="24" t="str">
        <f>IFERROR(__xludf.DUMMYFUNCTION("""COMPUTED_VALUE"""),"João Pessoa")</f>
        <v>João Pessoa</v>
      </c>
      <c r="D869" s="24" t="str">
        <f>IFERROR(__xludf.DUMMYFUNCTION("""COMPUTED_VALUE"""),"Editora da UFPB")</f>
        <v>Editora da UFPB</v>
      </c>
      <c r="E869" s="25">
        <f>IFERROR(__xludf.DUMMYFUNCTION("""COMPUTED_VALUE"""),2019.0)</f>
        <v>2019</v>
      </c>
      <c r="F869" s="24" t="str">
        <f>IFERROR(__xludf.DUMMYFUNCTION("""COMPUTED_VALUE"""),"Sociografia; Educação; Cultura africana; Africa")</f>
        <v>Sociografia; Educação; Cultura africana; Africa</v>
      </c>
      <c r="G869" s="28" t="str">
        <f>IFERROR(__xludf.DUMMYFUNCTION("""COMPUTED_VALUE"""),"9788523714352")</f>
        <v>9788523714352</v>
      </c>
      <c r="H869" s="29" t="str">
        <f>IFERROR(__xludf.DUMMYFUNCTION("""COMPUTED_VALUE"""),"http://www.editora.ufpb.br/sistema/press5/index.php/UFPB/catalog/book/325")</f>
        <v>http://www.editora.ufpb.br/sistema/press5/index.php/UFPB/catalog/book/325</v>
      </c>
      <c r="I869" s="24" t="str">
        <f>IFERROR(__xludf.DUMMYFUNCTION("""COMPUTED_VALUE"""),"Ciências Humanas")</f>
        <v>Ciências Humanas</v>
      </c>
    </row>
    <row r="870">
      <c r="A870" s="24" t="str">
        <f>IFERROR(__xludf.DUMMYFUNCTION("""COMPUTED_VALUE"""),"Travessias cognitivas: Áfricas reveladas - Vol. 2 (disponível temporariamente)")</f>
        <v>Travessias cognitivas: Áfricas reveladas - Vol. 2 (disponível temporariamente)</v>
      </c>
      <c r="B870" s="24" t="str">
        <f>IFERROR(__xludf.DUMMYFUNCTION("""COMPUTED_VALUE"""),"Edna Gusmão de Goés Brennand, Aloirmar José da Silva (Orgs.).")</f>
        <v>Edna Gusmão de Goés Brennand, Aloirmar José da Silva (Orgs.).</v>
      </c>
      <c r="C870" s="24" t="str">
        <f>IFERROR(__xludf.DUMMYFUNCTION("""COMPUTED_VALUE"""),"João Pessoa")</f>
        <v>João Pessoa</v>
      </c>
      <c r="D870" s="24" t="str">
        <f>IFERROR(__xludf.DUMMYFUNCTION("""COMPUTED_VALUE"""),"Editora da UFPB")</f>
        <v>Editora da UFPB</v>
      </c>
      <c r="E870" s="25">
        <f>IFERROR(__xludf.DUMMYFUNCTION("""COMPUTED_VALUE"""),2019.0)</f>
        <v>2019</v>
      </c>
      <c r="F870" s="24" t="str">
        <f>IFERROR(__xludf.DUMMYFUNCTION("""COMPUTED_VALUE"""),"Sociografia; Educação; Cultura africana; Africa")</f>
        <v>Sociografia; Educação; Cultura africana; Africa</v>
      </c>
      <c r="G870" s="28" t="str">
        <f>IFERROR(__xludf.DUMMYFUNCTION("""COMPUTED_VALUE"""),"9788523714369")</f>
        <v>9788523714369</v>
      </c>
      <c r="H870" s="29" t="str">
        <f>IFERROR(__xludf.DUMMYFUNCTION("""COMPUTED_VALUE"""),"http://www.editora.ufpb.br/sistema/press5/index.php/UFPB/catalog/book/325")</f>
        <v>http://www.editora.ufpb.br/sistema/press5/index.php/UFPB/catalog/book/325</v>
      </c>
      <c r="I870" s="24" t="str">
        <f>IFERROR(__xludf.DUMMYFUNCTION("""COMPUTED_VALUE"""),"Ciências Humanas")</f>
        <v>Ciências Humanas</v>
      </c>
    </row>
    <row r="871">
      <c r="A871" s="24" t="str">
        <f>IFERROR(__xludf.DUMMYFUNCTION("""COMPUTED_VALUE"""),"Travessias entre a sala de aula e o consultório: trajetórias docentes, narrativas e histórias de sofrimento e adoecimento psíquico de professores no Amapá")</f>
        <v>Travessias entre a sala de aula e o consultório: trajetórias docentes, narrativas e histórias de sofrimento e adoecimento psíquico de professores no Amapá</v>
      </c>
      <c r="B871" s="24" t="str">
        <f>IFERROR(__xludf.DUMMYFUNCTION("""COMPUTED_VALUE"""),"Selma Gomes da Silva")</f>
        <v>Selma Gomes da Silva</v>
      </c>
      <c r="C871" s="24" t="str">
        <f>IFERROR(__xludf.DUMMYFUNCTION("""COMPUTED_VALUE"""),"Macapá")</f>
        <v>Macapá</v>
      </c>
      <c r="D871" s="24" t="str">
        <f>IFERROR(__xludf.DUMMYFUNCTION("""COMPUTED_VALUE"""),"UNIFAP")</f>
        <v>UNIFAP</v>
      </c>
      <c r="E871" s="25">
        <f>IFERROR(__xludf.DUMMYFUNCTION("""COMPUTED_VALUE"""),2018.0)</f>
        <v>2018</v>
      </c>
      <c r="F871" s="24" t="str">
        <f>IFERROR(__xludf.DUMMYFUNCTION("""COMPUTED_VALUE"""),"Coleção Gapuia – Sociologia em Pesquisas &amp; Teses")</f>
        <v>Coleção Gapuia – Sociologia em Pesquisas &amp; Teses</v>
      </c>
      <c r="G871" s="28" t="str">
        <f>IFERROR(__xludf.DUMMYFUNCTION("""COMPUTED_VALUE"""),"9788554760397")</f>
        <v>9788554760397</v>
      </c>
      <c r="H871" s="29" t="str">
        <f>IFERROR(__xludf.DUMMYFUNCTION("""COMPUTED_VALUE"""),"https://www2.unifap.br/editora/files/2018/05/E-book-completo-compressed.pdf")</f>
        <v>https://www2.unifap.br/editora/files/2018/05/E-book-completo-compressed.pdf</v>
      </c>
      <c r="I871" s="24" t="str">
        <f>IFERROR(__xludf.DUMMYFUNCTION("""COMPUTED_VALUE"""),"Ciências Humanas")</f>
        <v>Ciências Humanas</v>
      </c>
    </row>
    <row r="872">
      <c r="A872" s="24" t="str">
        <f>IFERROR(__xludf.DUMMYFUNCTION("""COMPUTED_VALUE"""),"Turismo e território no Brasil e na Itália: novas perspectivas, novos desafios")</f>
        <v>Turismo e território no Brasil e na Itália: novas perspectivas, novos desafios</v>
      </c>
      <c r="B872" s="24" t="str">
        <f>IFERROR(__xludf.DUMMYFUNCTION("""COMPUTED_VALUE"""),"organização Glaucio José Marafon, Marcelo Antonio Sotratti, Marina Faccioli. ")</f>
        <v>organização Glaucio José Marafon, Marcelo Antonio Sotratti, Marina Faccioli. </v>
      </c>
      <c r="C872" s="24" t="str">
        <f>IFERROR(__xludf.DUMMYFUNCTION("""COMPUTED_VALUE"""),"Rio de Janeiro, RJ")</f>
        <v>Rio de Janeiro, RJ</v>
      </c>
      <c r="D872" s="24" t="str">
        <f>IFERROR(__xludf.DUMMYFUNCTION("""COMPUTED_VALUE"""),"EdUERJ")</f>
        <v>EdUERJ</v>
      </c>
      <c r="E872" s="25">
        <f>IFERROR(__xludf.DUMMYFUNCTION("""COMPUTED_VALUE"""),2014.0)</f>
        <v>2014</v>
      </c>
      <c r="F872" s="24" t="str">
        <f>IFERROR(__xludf.DUMMYFUNCTION("""COMPUTED_VALUE"""),"Brasil – Descrições e viagens; Itália – Descrições; e viagens; Turismo cultural – Brasil; Turismo cultural; – Itália")</f>
        <v>Brasil – Descrições e viagens; Itália – Descrições; e viagens; Turismo cultural – Brasil; Turismo cultural; – Itália</v>
      </c>
      <c r="G872" s="28" t="str">
        <f>IFERROR(__xludf.DUMMYFUNCTION("""COMPUTED_VALUE"""),"9788575113554")</f>
        <v>9788575113554</v>
      </c>
      <c r="H872" s="29" t="str">
        <f>IFERROR(__xludf.DUMMYFUNCTION("""COMPUTED_VALUE"""),"http://books.scielo.org/id/z9wz8/pdf/marafon-9788575114452.pdf")</f>
        <v>http://books.scielo.org/id/z9wz8/pdf/marafon-9788575114452.pdf</v>
      </c>
      <c r="I872" s="24" t="str">
        <f>IFERROR(__xludf.DUMMYFUNCTION("""COMPUTED_VALUE"""),"Ciências Humanas")</f>
        <v>Ciências Humanas</v>
      </c>
    </row>
    <row r="873">
      <c r="A873" s="24" t="str">
        <f>IFERROR(__xludf.DUMMYFUNCTION("""COMPUTED_VALUE"""),"Turismo e território no Brasil e na Itália: novas perspectivas, novos desafios")</f>
        <v>Turismo e território no Brasil e na Itália: novas perspectivas, novos desafios</v>
      </c>
      <c r="B873" s="24" t="str">
        <f>IFERROR(__xludf.DUMMYFUNCTION("""COMPUTED_VALUE"""),"Glaucio José Marafon, Marcelo Antonio Sotratti e Marina Faccioli (orgs.)")</f>
        <v>Glaucio José Marafon, Marcelo Antonio Sotratti e Marina Faccioli (orgs.)</v>
      </c>
      <c r="C873" s="24" t="str">
        <f>IFERROR(__xludf.DUMMYFUNCTION("""COMPUTED_VALUE"""),"Rio de Janeiro")</f>
        <v>Rio de Janeiro</v>
      </c>
      <c r="D873" s="24" t="str">
        <f>IFERROR(__xludf.DUMMYFUNCTION("""COMPUTED_VALUE"""),"EdUERJ")</f>
        <v>EdUERJ</v>
      </c>
      <c r="E873" s="25">
        <f>IFERROR(__xludf.DUMMYFUNCTION("""COMPUTED_VALUE"""),2014.0)</f>
        <v>2014</v>
      </c>
      <c r="F873" s="24" t="str">
        <f>IFERROR(__xludf.DUMMYFUNCTION("""COMPUTED_VALUE"""),"Brasil; Itália; Turismo cultural;. Viagens")</f>
        <v>Brasil; Itália; Turismo cultural;. Viagens</v>
      </c>
      <c r="G873" s="28" t="str">
        <f>IFERROR(__xludf.DUMMYFUNCTION("""COMPUTED_VALUE"""),"9788575113554")</f>
        <v>9788575113554</v>
      </c>
      <c r="H873" s="29" t="str">
        <f>IFERROR(__xludf.DUMMYFUNCTION("""COMPUTED_VALUE"""),"https://www.eduerj.com/eng/?product=turismo-e-territorio-no-brasil-e-na-italia-novas-perspectivas-novos-desafios-ebook")</f>
        <v>https://www.eduerj.com/eng/?product=turismo-e-territorio-no-brasil-e-na-italia-novas-perspectivas-novos-desafios-ebook</v>
      </c>
      <c r="I873" s="24" t="str">
        <f>IFERROR(__xludf.DUMMYFUNCTION("""COMPUTED_VALUE"""),"Ciências Humanas")</f>
        <v>Ciências Humanas</v>
      </c>
    </row>
    <row r="874">
      <c r="A874" s="24" t="str">
        <f>IFERROR(__xludf.DUMMYFUNCTION("""COMPUTED_VALUE"""),"UAMA : Oito Anos De Educação Incusiva E Transformadora")</f>
        <v>UAMA : Oito Anos De Educação Incusiva E Transformadora</v>
      </c>
      <c r="B874" s="24" t="str">
        <f>IFERROR(__xludf.DUMMYFUNCTION("""COMPUTED_VALUE"""),"Rozeane Albuquerque Lima; Manoel Freire de Oliveira Neto; Hilmaria Xavier Silva")</f>
        <v>Rozeane Albuquerque Lima; Manoel Freire de Oliveira Neto; Hilmaria Xavier Silva</v>
      </c>
      <c r="C874" s="24" t="str">
        <f>IFERROR(__xludf.DUMMYFUNCTION("""COMPUTED_VALUE"""),"Campina Grande")</f>
        <v>Campina Grande</v>
      </c>
      <c r="D874" s="24" t="str">
        <f>IFERROR(__xludf.DUMMYFUNCTION("""COMPUTED_VALUE"""),"EDUEPB")</f>
        <v>EDUEPB</v>
      </c>
      <c r="E874" s="25">
        <f>IFERROR(__xludf.DUMMYFUNCTION("""COMPUTED_VALUE"""),2017.0)</f>
        <v>2017</v>
      </c>
      <c r="F874" s="24" t="str">
        <f>IFERROR(__xludf.DUMMYFUNCTION("""COMPUTED_VALUE"""),"Educação. UAMA – Universidade Aberta à maturidade.; Universidade na terceira idade. UEPB. Biografia da UAMA. História")</f>
        <v>Educação. UAMA – Universidade Aberta à maturidade.; Universidade na terceira idade. UEPB. Biografia da UAMA. História</v>
      </c>
      <c r="G874" s="28" t="str">
        <f>IFERROR(__xludf.DUMMYFUNCTION("""COMPUTED_VALUE"""),"9788578794484")</f>
        <v>9788578794484</v>
      </c>
      <c r="H874" s="29" t="str">
        <f>IFERROR(__xludf.DUMMYFUNCTION("""COMPUTED_VALUE"""),"http://eduepb.uepb.edu.br/download/uama-oito-anos-de-educacao-incusiva-e-transformadora/?wpdmdl=225&amp;amp;masterkey=5af9a2f909be9")</f>
        <v>http://eduepb.uepb.edu.br/download/uama-oito-anos-de-educacao-incusiva-e-transformadora/?wpdmdl=225&amp;amp;masterkey=5af9a2f909be9</v>
      </c>
      <c r="I874" s="24" t="str">
        <f>IFERROR(__xludf.DUMMYFUNCTION("""COMPUTED_VALUE"""),"Ciências Humanas")</f>
        <v>Ciências Humanas</v>
      </c>
    </row>
    <row r="875">
      <c r="A875" s="24" t="str">
        <f>IFERROR(__xludf.DUMMYFUNCTION("""COMPUTED_VALUE"""),"UEMS 25 anos: uma história contada por todos!")</f>
        <v>UEMS 25 anos: uma história contada por todos!</v>
      </c>
      <c r="B875" s="24" t="str">
        <f>IFERROR(__xludf.DUMMYFUNCTION("""COMPUTED_VALUE"""),"André Mazini e Eduarda Rosa, organização")</f>
        <v>André Mazini e Eduarda Rosa, organização</v>
      </c>
      <c r="C875" s="24" t="str">
        <f>IFERROR(__xludf.DUMMYFUNCTION("""COMPUTED_VALUE"""),"Dourados, MS")</f>
        <v>Dourados, MS</v>
      </c>
      <c r="D875" s="24" t="str">
        <f>IFERROR(__xludf.DUMMYFUNCTION("""COMPUTED_VALUE"""),"Editora UEMS")</f>
        <v>Editora UEMS</v>
      </c>
      <c r="E875" s="25">
        <f>IFERROR(__xludf.DUMMYFUNCTION("""COMPUTED_VALUE"""),2019.0)</f>
        <v>2019</v>
      </c>
      <c r="F875" s="24" t="str">
        <f>IFERROR(__xludf.DUMMYFUNCTION("""COMPUTED_VALUE"""),"UEMS – História; UEMS – Ensino superior –; História")</f>
        <v>UEMS – História; UEMS – Ensino superior –; História</v>
      </c>
      <c r="G875" s="28" t="str">
        <f>IFERROR(__xludf.DUMMYFUNCTION("""COMPUTED_VALUE"""),"9788571360334")</f>
        <v>9788571360334</v>
      </c>
      <c r="H875" s="29" t="str">
        <f>IFERROR(__xludf.DUMMYFUNCTION("""COMPUTED_VALUE"""),"http://www.uems.br/assets/uploads/editora/arquivos/1_2019-09-30_13-27-22.pdf")</f>
        <v>http://www.uems.br/assets/uploads/editora/arquivos/1_2019-09-30_13-27-22.pdf</v>
      </c>
      <c r="I875" s="24" t="str">
        <f>IFERROR(__xludf.DUMMYFUNCTION("""COMPUTED_VALUE"""),"Ciências Humanas")</f>
        <v>Ciências Humanas</v>
      </c>
    </row>
    <row r="876">
      <c r="A876" s="24" t="str">
        <f>IFERROR(__xludf.DUMMYFUNCTION("""COMPUTED_VALUE"""),"UFES: 40 anos de história (2.ed.)")</f>
        <v>UFES: 40 anos de história (2.ed.)</v>
      </c>
      <c r="B876" s="24" t="str">
        <f>IFERROR(__xludf.DUMMYFUNCTION("""COMPUTED_VALUE"""),"Ivantir Antonio Borgo")</f>
        <v>Ivantir Antonio Borgo</v>
      </c>
      <c r="C876" s="24" t="str">
        <f>IFERROR(__xludf.DUMMYFUNCTION("""COMPUTED_VALUE"""),"Vitória")</f>
        <v>Vitória</v>
      </c>
      <c r="D876" s="24" t="str">
        <f>IFERROR(__xludf.DUMMYFUNCTION("""COMPUTED_VALUE"""),"EDUFES")</f>
        <v>EDUFES</v>
      </c>
      <c r="E876" s="25">
        <f>IFERROR(__xludf.DUMMYFUNCTION("""COMPUTED_VALUE"""),2014.0)</f>
        <v>2014</v>
      </c>
      <c r="F876" s="24" t="str">
        <f>IFERROR(__xludf.DUMMYFUNCTION("""COMPUTED_VALUE"""),"Universidade Federal do Espírito Santo; História; Espírito Santo")</f>
        <v>Universidade Federal do Espírito Santo; História; Espírito Santo</v>
      </c>
      <c r="G876" s="28" t="str">
        <f>IFERROR(__xludf.DUMMYFUNCTION("""COMPUTED_VALUE"""),"9788577722310")</f>
        <v>9788577722310</v>
      </c>
      <c r="H876" s="29" t="str">
        <f>IFERROR(__xludf.DUMMYFUNCTION("""COMPUTED_VALUE"""),"http://repositorio.ufes.br/handle/10/1029")</f>
        <v>http://repositorio.ufes.br/handle/10/1029</v>
      </c>
      <c r="I876" s="24" t="str">
        <f>IFERROR(__xludf.DUMMYFUNCTION("""COMPUTED_VALUE"""),"Ciências Humanas")</f>
        <v>Ciências Humanas</v>
      </c>
    </row>
    <row r="877">
      <c r="A877" s="24" t="str">
        <f>IFERROR(__xludf.DUMMYFUNCTION("""COMPUTED_VALUE"""),"UFES: 60 anos")</f>
        <v>UFES: 60 anos</v>
      </c>
      <c r="B877" s="24" t="str">
        <f>IFERROR(__xludf.DUMMYFUNCTION("""COMPUTED_VALUE"""),"Universidade Federal do Espírito Santo")</f>
        <v>Universidade Federal do Espírito Santo</v>
      </c>
      <c r="C877" s="24" t="str">
        <f>IFERROR(__xludf.DUMMYFUNCTION("""COMPUTED_VALUE"""),"Vitória")</f>
        <v>Vitória</v>
      </c>
      <c r="D877" s="24" t="str">
        <f>IFERROR(__xludf.DUMMYFUNCTION("""COMPUTED_VALUE"""),"EDUFES")</f>
        <v>EDUFES</v>
      </c>
      <c r="E877" s="25">
        <f>IFERROR(__xludf.DUMMYFUNCTION("""COMPUTED_VALUE"""),2014.0)</f>
        <v>2014</v>
      </c>
      <c r="F877" s="24" t="str">
        <f>IFERROR(__xludf.DUMMYFUNCTION("""COMPUTED_VALUE"""),"Universidade Federal do Espírito Santo; História; Ensino superior")</f>
        <v>Universidade Federal do Espírito Santo; História; Ensino superior</v>
      </c>
      <c r="G877" s="28" t="str">
        <f>IFERROR(__xludf.DUMMYFUNCTION("""COMPUTED_VALUE"""),"9788577722327")</f>
        <v>9788577722327</v>
      </c>
      <c r="H877" s="29" t="str">
        <f>IFERROR(__xludf.DUMMYFUNCTION("""COMPUTED_VALUE"""),"http://repositorio.ufes.br/handle/10/852")</f>
        <v>http://repositorio.ufes.br/handle/10/852</v>
      </c>
      <c r="I877" s="24" t="str">
        <f>IFERROR(__xludf.DUMMYFUNCTION("""COMPUTED_VALUE"""),"Ciências Humanas")</f>
        <v>Ciências Humanas</v>
      </c>
    </row>
    <row r="878">
      <c r="A878" s="24" t="str">
        <f>IFERROR(__xludf.DUMMYFUNCTION("""COMPUTED_VALUE"""),"Um Convite à Utopia")</f>
        <v>Um Convite à Utopia</v>
      </c>
      <c r="B878" s="24" t="str">
        <f>IFERROR(__xludf.DUMMYFUNCTION("""COMPUTED_VALUE"""),"Cidoval Morais de Sousa (org.)")</f>
        <v>Cidoval Morais de Sousa (org.)</v>
      </c>
      <c r="C878" s="24" t="str">
        <f>IFERROR(__xludf.DUMMYFUNCTION("""COMPUTED_VALUE"""),"Campina Grande")</f>
        <v>Campina Grande</v>
      </c>
      <c r="D878" s="24" t="str">
        <f>IFERROR(__xludf.DUMMYFUNCTION("""COMPUTED_VALUE"""),"EDUEPB")</f>
        <v>EDUEPB</v>
      </c>
      <c r="E878" s="25">
        <f>IFERROR(__xludf.DUMMYFUNCTION("""COMPUTED_VALUE"""),2016.0)</f>
        <v>2016</v>
      </c>
      <c r="F878" s="24" t="str">
        <f>IFERROR(__xludf.DUMMYFUNCTION("""COMPUTED_VALUE"""),"Critica ao capitalismo contemporâneo. Esperança. Utopia. Bem viver. Narrativa sobre o lugar perfeito. Thomas Morus")</f>
        <v>Critica ao capitalismo contemporâneo. Esperança. Utopia. Bem viver. Narrativa sobre o lugar perfeito. Thomas Morus</v>
      </c>
      <c r="G878" s="28" t="str">
        <f>IFERROR(__xludf.DUMMYFUNCTION("""COMPUTED_VALUE"""),"9788578793210")</f>
        <v>9788578793210</v>
      </c>
      <c r="H878" s="29" t="str">
        <f>IFERROR(__xludf.DUMMYFUNCTION("""COMPUTED_VALUE"""),"http://eduepb.uepb.edu.br/download/um-convite-a-utopia/?wpdmdl=227&amp;amp;masterkey=5af9a32d87a3e")</f>
        <v>http://eduepb.uepb.edu.br/download/um-convite-a-utopia/?wpdmdl=227&amp;amp;masterkey=5af9a32d87a3e</v>
      </c>
      <c r="I878" s="24" t="str">
        <f>IFERROR(__xludf.DUMMYFUNCTION("""COMPUTED_VALUE"""),"Ciências Humanas")</f>
        <v>Ciências Humanas</v>
      </c>
    </row>
    <row r="879">
      <c r="A879" s="24" t="str">
        <f>IFERROR(__xludf.DUMMYFUNCTION("""COMPUTED_VALUE"""),"Um convite à utopia : Tecnotopias, Justiça Social, Felicidade : Vol. 2")</f>
        <v>Um convite à utopia : Tecnotopias, Justiça Social, Felicidade : Vol. 2</v>
      </c>
      <c r="B879" s="24" t="str">
        <f>IFERROR(__xludf.DUMMYFUNCTION("""COMPUTED_VALUE"""),"Cidoval Morais de Sousa (org.)")</f>
        <v>Cidoval Morais de Sousa (org.)</v>
      </c>
      <c r="C879" s="24" t="str">
        <f>IFERROR(__xludf.DUMMYFUNCTION("""COMPUTED_VALUE"""),"Campina Grande")</f>
        <v>Campina Grande</v>
      </c>
      <c r="D879" s="24" t="str">
        <f>IFERROR(__xludf.DUMMYFUNCTION("""COMPUTED_VALUE"""),"EDUEPB")</f>
        <v>EDUEPB</v>
      </c>
      <c r="E879" s="25">
        <f>IFERROR(__xludf.DUMMYFUNCTION("""COMPUTED_VALUE"""),2018.0)</f>
        <v>2018</v>
      </c>
      <c r="F879" s="24" t="str">
        <f>IFERROR(__xludf.DUMMYFUNCTION("""COMPUTED_VALUE"""),"Ideologias políticas. Capitalismo contemporâneo - crítica. Tecnotopia. ciência e tecnologia. Economia e felicidade. Justiça social. Economia política")</f>
        <v>Ideologias políticas. Capitalismo contemporâneo - crítica. Tecnotopia. ciência e tecnologia. Economia e felicidade. Justiça social. Economia política</v>
      </c>
      <c r="G879" s="28" t="str">
        <f>IFERROR(__xludf.DUMMYFUNCTION("""COMPUTED_VALUE"""),"9788578793982")</f>
        <v>9788578793982</v>
      </c>
      <c r="H879" s="29" t="str">
        <f>IFERROR(__xludf.DUMMYFUNCTION("""COMPUTED_VALUE"""),"http://eduepb.uepb.edu.br/download/utopia-volume-2/?wpdmdl=833&amp;#038;masterkey=5d714f48380bf")</f>
        <v>http://eduepb.uepb.edu.br/download/utopia-volume-2/?wpdmdl=833&amp;#038;masterkey=5d714f48380bf</v>
      </c>
      <c r="I879" s="24" t="str">
        <f>IFERROR(__xludf.DUMMYFUNCTION("""COMPUTED_VALUE"""),"Ciências Humanas")</f>
        <v>Ciências Humanas</v>
      </c>
    </row>
    <row r="880">
      <c r="A880" s="24" t="str">
        <f>IFERROR(__xludf.DUMMYFUNCTION("""COMPUTED_VALUE"""),"Um lugar na história: a capitania e comarca de Ilhéus antes do cacau")</f>
        <v>Um lugar na história: a capitania e comarca de Ilhéus antes do cacau</v>
      </c>
      <c r="B880" s="24" t="str">
        <f>IFERROR(__xludf.DUMMYFUNCTION("""COMPUTED_VALUE"""),"Marcelo Henrique Dias e Ãngelo Alves Carrara (org.)")</f>
        <v>Marcelo Henrique Dias e Ãngelo Alves Carrara (org.)</v>
      </c>
      <c r="C880" s="24" t="str">
        <f>IFERROR(__xludf.DUMMYFUNCTION("""COMPUTED_VALUE"""),"Ilhéus, BA")</f>
        <v>Ilhéus, BA</v>
      </c>
      <c r="D880" s="24" t="str">
        <f>IFERROR(__xludf.DUMMYFUNCTION("""COMPUTED_VALUE"""),"Editus")</f>
        <v>Editus</v>
      </c>
      <c r="E880" s="25">
        <f>IFERROR(__xludf.DUMMYFUNCTION("""COMPUTED_VALUE"""),2007.0)</f>
        <v>2007</v>
      </c>
      <c r="F880" s="24" t="str">
        <f>IFERROR(__xludf.DUMMYFUNCTION("""COMPUTED_VALUE"""),"Ilhéus (BA) – História; Bahia – História - Capitanias; hereditárias – 1700-1850; Ilhéus (BA) – Condições sociais-; 1700-1850; Ilhéus (BA) – Condições econômicas- 1700-; 1850")</f>
        <v>Ilhéus (BA) – História; Bahia – História - Capitanias; hereditárias – 1700-1850; Ilhéus (BA) – Condições sociais-; 1700-1850; Ilhéus (BA) – Condições econômicas- 1700-; 1850</v>
      </c>
      <c r="G880" s="28" t="str">
        <f>IFERROR(__xludf.DUMMYFUNCTION("""COMPUTED_VALUE"""),"9788574551296")</f>
        <v>9788574551296</v>
      </c>
      <c r="H880" s="29" t="str">
        <f>IFERROR(__xludf.DUMMYFUNCTION("""COMPUTED_VALUE"""),"http://www.uesc.br/editora/livrosdigitais2/um_lugar_na_historia_digital.pdf")</f>
        <v>http://www.uesc.br/editora/livrosdigitais2/um_lugar_na_historia_digital.pdf</v>
      </c>
      <c r="I880" s="24" t="str">
        <f>IFERROR(__xludf.DUMMYFUNCTION("""COMPUTED_VALUE"""),"Ciências Humanas")</f>
        <v>Ciências Humanas</v>
      </c>
    </row>
    <row r="881">
      <c r="A881" s="24" t="str">
        <f>IFERROR(__xludf.DUMMYFUNCTION("""COMPUTED_VALUE"""),"Uma dobra no tempo: um memorial (quase) acadêmico ")</f>
        <v>Uma dobra no tempo: um memorial (quase) acadêmico </v>
      </c>
      <c r="B881" s="24" t="str">
        <f>IFERROR(__xludf.DUMMYFUNCTION("""COMPUTED_VALUE"""),"Nelson De Luca Pretto")</f>
        <v>Nelson De Luca Pretto</v>
      </c>
      <c r="C881" s="24" t="str">
        <f>IFERROR(__xludf.DUMMYFUNCTION("""COMPUTED_VALUE"""),"Ilhéus, BA")</f>
        <v>Ilhéus, BA</v>
      </c>
      <c r="D881" s="24" t="str">
        <f>IFERROR(__xludf.DUMMYFUNCTION("""COMPUTED_VALUE"""),"Editus")</f>
        <v>Editus</v>
      </c>
      <c r="E881" s="25">
        <f>IFERROR(__xludf.DUMMYFUNCTION("""COMPUTED_VALUE"""),2015.0)</f>
        <v>2015</v>
      </c>
      <c r="F881" s="24" t="str">
        <f>IFERROR(__xludf.DUMMYFUNCTION("""COMPUTED_VALUE"""),"Curriculum Vitae; Pretto, Nelson De Luca, 1954- - Carreira no ensino superior; Professores – Brasil - Biografia; Educadores – Brasil")</f>
        <v>Curriculum Vitae; Pretto, Nelson De Luca, 1954- - Carreira no ensino superior; Professores – Brasil - Biografia; Educadores – Brasil</v>
      </c>
      <c r="G881" s="28" t="str">
        <f>IFERROR(__xludf.DUMMYFUNCTION("""COMPUTED_VALUE"""),"9788574553924")</f>
        <v>9788574553924</v>
      </c>
      <c r="H881" s="29" t="str">
        <f>IFERROR(__xludf.DUMMYFUNCTION("""COMPUTED_VALUE"""),"http://www.uesc.br/editora/livrosdigitais2016/uma-dobra-no-tempo.pdf")</f>
        <v>http://www.uesc.br/editora/livrosdigitais2016/uma-dobra-no-tempo.pdf</v>
      </c>
      <c r="I881" s="24" t="str">
        <f>IFERROR(__xludf.DUMMYFUNCTION("""COMPUTED_VALUE"""),"Ciências Humanas")</f>
        <v>Ciências Humanas</v>
      </c>
    </row>
    <row r="882">
      <c r="A882" s="24" t="str">
        <f>IFERROR(__xludf.DUMMYFUNCTION("""COMPUTED_VALUE"""),"Uma escola que aprendeu a cooperar")</f>
        <v>Uma escola que aprendeu a cooperar</v>
      </c>
      <c r="B882" s="24" t="str">
        <f>IFERROR(__xludf.DUMMYFUNCTION("""COMPUTED_VALUE"""),"Dalpiás, Jucélia Tramontin")</f>
        <v>Dalpiás, Jucélia Tramontin</v>
      </c>
      <c r="C882" s="24" t="str">
        <f>IFERROR(__xludf.DUMMYFUNCTION("""COMPUTED_VALUE"""),"Criciúma")</f>
        <v>Criciúma</v>
      </c>
      <c r="D882" s="24" t="str">
        <f>IFERROR(__xludf.DUMMYFUNCTION("""COMPUTED_VALUE"""),"Unesc")</f>
        <v>Unesc</v>
      </c>
      <c r="E882" s="25">
        <f>IFERROR(__xludf.DUMMYFUNCTION("""COMPUTED_VALUE"""),2020.0)</f>
        <v>2020</v>
      </c>
      <c r="F882" s="24" t="str">
        <f>IFERROR(__xludf.DUMMYFUNCTION("""COMPUTED_VALUE"""),"Literatura infantojuvenil brasileira; Cooperação – Literatura infantojuvenil; Educar para a cooperação – Literatura infantojuvenil; Trabalho em equipe")</f>
        <v>Literatura infantojuvenil brasileira; Cooperação – Literatura infantojuvenil; Educar para a cooperação – Literatura infantojuvenil; Trabalho em equipe</v>
      </c>
      <c r="G882" s="28" t="str">
        <f>IFERROR(__xludf.DUMMYFUNCTION("""COMPUTED_VALUE"""),"9786587458014")</f>
        <v>9786587458014</v>
      </c>
      <c r="H882" s="29" t="str">
        <f>IFERROR(__xludf.DUMMYFUNCTION("""COMPUTED_VALUE"""),"http://repositorio.unesc.net/handle/1/7631")</f>
        <v>http://repositorio.unesc.net/handle/1/7631</v>
      </c>
      <c r="I882" s="24" t="str">
        <f>IFERROR(__xludf.DUMMYFUNCTION("""COMPUTED_VALUE"""),"Ciências Humanas")</f>
        <v>Ciências Humanas</v>
      </c>
    </row>
    <row r="883">
      <c r="A883" s="24" t="str">
        <f>IFERROR(__xludf.DUMMYFUNCTION("""COMPUTED_VALUE"""),"Uma procissão na geografia")</f>
        <v>Uma procissão na geografia</v>
      </c>
      <c r="B883" s="24" t="str">
        <f>IFERROR(__xludf.DUMMYFUNCTION("""COMPUTED_VALUE"""),"Zeny Rosendahl, organização. ")</f>
        <v>Zeny Rosendahl, organização. </v>
      </c>
      <c r="C883" s="24" t="str">
        <f>IFERROR(__xludf.DUMMYFUNCTION("""COMPUTED_VALUE"""),"Rio de Janeiro, RJ")</f>
        <v>Rio de Janeiro, RJ</v>
      </c>
      <c r="D883" s="24" t="str">
        <f>IFERROR(__xludf.DUMMYFUNCTION("""COMPUTED_VALUE"""),"EdUERJ")</f>
        <v>EdUERJ</v>
      </c>
      <c r="E883" s="25">
        <f>IFERROR(__xludf.DUMMYFUNCTION("""COMPUTED_VALUE"""),2018.0)</f>
        <v>2018</v>
      </c>
      <c r="F883" s="24" t="str">
        <f>IFERROR(__xludf.DUMMYFUNCTION("""COMPUTED_VALUE"""),"Religião e geografia")</f>
        <v>Religião e geografia</v>
      </c>
      <c r="G883" s="28" t="str">
        <f>IFERROR(__xludf.DUMMYFUNCTION("""COMPUTED_VALUE"""),"9788575114674")</f>
        <v>9788575114674</v>
      </c>
      <c r="H883" s="29" t="str">
        <f>IFERROR(__xludf.DUMMYFUNCTION("""COMPUTED_VALUE"""),"http://books.scielo.org/id/wy7ft/pdf/rosendahl-9788575115015.pdf")</f>
        <v>http://books.scielo.org/id/wy7ft/pdf/rosendahl-9788575115015.pdf</v>
      </c>
      <c r="I883" s="24" t="str">
        <f>IFERROR(__xludf.DUMMYFUNCTION("""COMPUTED_VALUE"""),"Ciências Humanas")</f>
        <v>Ciências Humanas</v>
      </c>
    </row>
    <row r="884">
      <c r="A884" s="24" t="str">
        <f>IFERROR(__xludf.DUMMYFUNCTION("""COMPUTED_VALUE"""),"Uma Proposta de Transposição Didática: A Língua Inglesa no Ensino Fundamental II")</f>
        <v>Uma Proposta de Transposição Didática: A Língua Inglesa no Ensino Fundamental II</v>
      </c>
      <c r="B884" s="24" t="str">
        <f>IFERROR(__xludf.DUMMYFUNCTION("""COMPUTED_VALUE"""),"Betânia Passos Medrado; Maura Regina Dourado")</f>
        <v>Betânia Passos Medrado; Maura Regina Dourado</v>
      </c>
      <c r="C884" s="24" t="str">
        <f>IFERROR(__xludf.DUMMYFUNCTION("""COMPUTED_VALUE"""),"João Pessoa")</f>
        <v>João Pessoa</v>
      </c>
      <c r="D884" s="24" t="str">
        <f>IFERROR(__xludf.DUMMYFUNCTION("""COMPUTED_VALUE"""),"Editora da UFPB")</f>
        <v>Editora da UFPB</v>
      </c>
      <c r="E884" s="25">
        <f>IFERROR(__xludf.DUMMYFUNCTION("""COMPUTED_VALUE"""),2016.0)</f>
        <v>2016</v>
      </c>
      <c r="F884" s="24" t="str">
        <f>IFERROR(__xludf.DUMMYFUNCTION("""COMPUTED_VALUE"""),"Língua inglesa-ensino. Língua inglesa-ensino fundamental")</f>
        <v>Língua inglesa-ensino. Língua inglesa-ensino fundamental</v>
      </c>
      <c r="G884" s="28" t="str">
        <f>IFERROR(__xludf.DUMMYFUNCTION("""COMPUTED_VALUE"""),"9788523710309")</f>
        <v>9788523710309</v>
      </c>
      <c r="H884" s="29" t="str">
        <f>IFERROR(__xludf.DUMMYFUNCTION("""COMPUTED_VALUE"""),"http://www.editora.ufpb.br/sistema/press5/index.php/UFPB/catalog/book/272")</f>
        <v>http://www.editora.ufpb.br/sistema/press5/index.php/UFPB/catalog/book/272</v>
      </c>
      <c r="I884" s="24" t="str">
        <f>IFERROR(__xludf.DUMMYFUNCTION("""COMPUTED_VALUE"""),"Ciências Humanas")</f>
        <v>Ciências Humanas</v>
      </c>
    </row>
    <row r="885">
      <c r="A885" s="24" t="str">
        <f>IFERROR(__xludf.DUMMYFUNCTION("""COMPUTED_VALUE"""),"Uma vida e muitas lutas")</f>
        <v>Uma vida e muitas lutas</v>
      </c>
      <c r="B885" s="24" t="str">
        <f>IFERROR(__xludf.DUMMYFUNCTION("""COMPUTED_VALUE"""),"Ayala Rocha")</f>
        <v>Ayala Rocha</v>
      </c>
      <c r="C885" s="24" t="str">
        <f>IFERROR(__xludf.DUMMYFUNCTION("""COMPUTED_VALUE"""),"Campina Grande")</f>
        <v>Campina Grande</v>
      </c>
      <c r="D885" s="24" t="str">
        <f>IFERROR(__xludf.DUMMYFUNCTION("""COMPUTED_VALUE"""),"EDUEPB")</f>
        <v>EDUEPB</v>
      </c>
      <c r="E885" s="25">
        <f>IFERROR(__xludf.DUMMYFUNCTION("""COMPUTED_VALUE"""),2019.0)</f>
        <v>2019</v>
      </c>
      <c r="F885" s="24" t="str">
        <f>IFERROR(__xludf.DUMMYFUNCTION("""COMPUTED_VALUE"""),"Rocha Filho, Euzébio - Biografia. Políticos - Biografia. Monopólio estatal - Brasil. Desenvolvimento econômico - Brasil. Energia nuclear")</f>
        <v>Rocha Filho, Euzébio - Biografia. Políticos - Biografia. Monopólio estatal - Brasil. Desenvolvimento econômico - Brasil. Energia nuclear</v>
      </c>
      <c r="G885" s="28" t="str">
        <f>IFERROR(__xludf.DUMMYFUNCTION("""COMPUTED_VALUE"""),"9788578795959")</f>
        <v>9788578795959</v>
      </c>
      <c r="H885" s="29" t="str">
        <f>IFERROR(__xludf.DUMMYFUNCTION("""COMPUTED_VALUE"""),"http://eduepb.uepb.edu.br/download/uma-vida-e-muitas-lutas/?wpdmdl=921&amp;#038;masterkey=5dee4652c7c23")</f>
        <v>http://eduepb.uepb.edu.br/download/uma-vida-e-muitas-lutas/?wpdmdl=921&amp;#038;masterkey=5dee4652c7c23</v>
      </c>
      <c r="I885" s="24" t="str">
        <f>IFERROR(__xludf.DUMMYFUNCTION("""COMPUTED_VALUE"""),"Ciências Humanas")</f>
        <v>Ciências Humanas</v>
      </c>
    </row>
    <row r="886">
      <c r="A886" s="24" t="str">
        <f>IFERROR(__xludf.DUMMYFUNCTION("""COMPUTED_VALUE"""),"UNEMAT 40 anos e outras histórias acadêmicas em literatura de cordel")</f>
        <v>UNEMAT 40 anos e outras histórias acadêmicas em literatura de cordel</v>
      </c>
      <c r="B886" s="24" t="str">
        <f>IFERROR(__xludf.DUMMYFUNCTION("""COMPUTED_VALUE"""),"Josivaldo Constantino dos Santos")</f>
        <v>Josivaldo Constantino dos Santos</v>
      </c>
      <c r="C886" s="24" t="str">
        <f>IFERROR(__xludf.DUMMYFUNCTION("""COMPUTED_VALUE"""),"Cáceres")</f>
        <v>Cáceres</v>
      </c>
      <c r="D886" s="24" t="str">
        <f>IFERROR(__xludf.DUMMYFUNCTION("""COMPUTED_VALUE"""),"UNEMAT")</f>
        <v>UNEMAT</v>
      </c>
      <c r="E886" s="25">
        <f>IFERROR(__xludf.DUMMYFUNCTION("""COMPUTED_VALUE"""),2020.0)</f>
        <v>2020</v>
      </c>
      <c r="F886" s="24" t="str">
        <f>IFERROR(__xludf.DUMMYFUNCTION("""COMPUTED_VALUE"""),"UNEMAT - história; Educação superior - Mato Grosso; Literatura de cordel")</f>
        <v>UNEMAT - história; Educação superior - Mato Grosso; Literatura de cordel</v>
      </c>
      <c r="G886" s="28" t="str">
        <f>IFERROR(__xludf.DUMMYFUNCTION("""COMPUTED_VALUE"""),"9786599014253")</f>
        <v>9786599014253</v>
      </c>
      <c r="H886" s="29" t="str">
        <f>IFERROR(__xludf.DUMMYFUNCTION("""COMPUTED_VALUE"""),"http://portal.unemat.br/media/files/Editora/E-book%20UNEMAT%2040%20anos%20e%20outras%20hist%C3%B3rias.pdf")</f>
        <v>http://portal.unemat.br/media/files/Editora/E-book%20UNEMAT%2040%20anos%20e%20outras%20hist%C3%B3rias.pdf</v>
      </c>
      <c r="I886" s="24" t="str">
        <f>IFERROR(__xludf.DUMMYFUNCTION("""COMPUTED_VALUE"""),"Ciências Humanas")</f>
        <v>Ciências Humanas</v>
      </c>
    </row>
    <row r="887">
      <c r="A887" s="24" t="str">
        <f>IFERROR(__xludf.DUMMYFUNCTION("""COMPUTED_VALUE"""),"UNEMAT:uma história que faz parte de muitas outras 40 anos")</f>
        <v>UNEMAT:uma história que faz parte de muitas outras 40 anos</v>
      </c>
      <c r="B887" s="24" t="str">
        <f>IFERROR(__xludf.DUMMYFUNCTION("""COMPUTED_VALUE"""),"Neuza Zattar, Danielle Tavares, Hemilia Maia, Lygia Lima (org.)")</f>
        <v>Neuza Zattar, Danielle Tavares, Hemilia Maia, Lygia Lima (org.)</v>
      </c>
      <c r="C887" s="24" t="str">
        <f>IFERROR(__xludf.DUMMYFUNCTION("""COMPUTED_VALUE"""),"Cáceres")</f>
        <v>Cáceres</v>
      </c>
      <c r="D887" s="24" t="str">
        <f>IFERROR(__xludf.DUMMYFUNCTION("""COMPUTED_VALUE"""),"UNEMAT")</f>
        <v>UNEMAT</v>
      </c>
      <c r="E887" s="25">
        <f>IFERROR(__xludf.DUMMYFUNCTION("""COMPUTED_VALUE"""),2018.0)</f>
        <v>2018</v>
      </c>
      <c r="F887" s="24" t="str">
        <f>IFERROR(__xludf.DUMMYFUNCTION("""COMPUTED_VALUE"""),"Universidade do Estado de Mato Grosso; História; Ensino Superior")</f>
        <v>Universidade do Estado de Mato Grosso; História; Ensino Superior</v>
      </c>
      <c r="G887" s="28" t="str">
        <f>IFERROR(__xludf.DUMMYFUNCTION("""COMPUTED_VALUE"""),"9788579111778")</f>
        <v>9788579111778</v>
      </c>
      <c r="H887" s="29" t="str">
        <f>IFERROR(__xludf.DUMMYFUNCTION("""COMPUTED_VALUE"""),"https://drive.google.com/file/d/1RAQ90nCnL7FyCB8srBA-Yf28mEAOx4Kb/view")</f>
        <v>https://drive.google.com/file/d/1RAQ90nCnL7FyCB8srBA-Yf28mEAOx4Kb/view</v>
      </c>
      <c r="I887" s="24" t="str">
        <f>IFERROR(__xludf.DUMMYFUNCTION("""COMPUTED_VALUE"""),"Ciências Humanas")</f>
        <v>Ciências Humanas</v>
      </c>
    </row>
    <row r="888">
      <c r="A888" s="24" t="str">
        <f>IFERROR(__xludf.DUMMYFUNCTION("""COMPUTED_VALUE"""),"Universidade do Brasil: das origens à construção")</f>
        <v>Universidade do Brasil: das origens à construção</v>
      </c>
      <c r="B888" s="24" t="str">
        <f>IFERROR(__xludf.DUMMYFUNCTION("""COMPUTED_VALUE"""),"Maria de Lourdes de Albuquerque Fávero")</f>
        <v>Maria de Lourdes de Albuquerque Fávero</v>
      </c>
      <c r="C888" s="24" t="str">
        <f>IFERROR(__xludf.DUMMYFUNCTION("""COMPUTED_VALUE"""),"Rio de Janeiro")</f>
        <v>Rio de Janeiro</v>
      </c>
      <c r="D888" s="24" t="str">
        <f>IFERROR(__xludf.DUMMYFUNCTION("""COMPUTED_VALUE"""),"Editora UFRJ")</f>
        <v>Editora UFRJ</v>
      </c>
      <c r="E888" s="25">
        <f>IFERROR(__xludf.DUMMYFUNCTION("""COMPUTED_VALUE"""),2010.0)</f>
        <v>2010</v>
      </c>
      <c r="F888" s="24" t="str">
        <f>IFERROR(__xludf.DUMMYFUNCTION("""COMPUTED_VALUE"""),"Universidade Federal do Rio de Janeiro; Universidades públicas; História")</f>
        <v>Universidade Federal do Rio de Janeiro; Universidades públicas; História</v>
      </c>
      <c r="G888" s="28" t="str">
        <f>IFERROR(__xludf.DUMMYFUNCTION("""COMPUTED_VALUE"""),"9788571083431")</f>
        <v>9788571083431</v>
      </c>
      <c r="H888" s="29" t="str">
        <f>IFERROR(__xludf.DUMMYFUNCTION("""COMPUTED_VALUE"""),"http://www.editora.ufrj.br/DynamicItems/livrosabertos-1/Universidade-do-Brasil-das-origens-a-construcao_compressed.pdf")</f>
        <v>http://www.editora.ufrj.br/DynamicItems/livrosabertos-1/Universidade-do-Brasil-das-origens-a-construcao_compressed.pdf</v>
      </c>
      <c r="I888" s="24" t="str">
        <f>IFERROR(__xludf.DUMMYFUNCTION("""COMPUTED_VALUE"""),"Ciências Humanas")</f>
        <v>Ciências Humanas</v>
      </c>
    </row>
    <row r="889">
      <c r="A889" s="24" t="str">
        <f>IFERROR(__xludf.DUMMYFUNCTION("""COMPUTED_VALUE"""),"Universidade do Brasil: guia dos dispositivos legais")</f>
        <v>Universidade do Brasil: guia dos dispositivos legais</v>
      </c>
      <c r="B889" s="24" t="str">
        <f>IFERROR(__xludf.DUMMYFUNCTION("""COMPUTED_VALUE"""),"organização de Maria de Lourdes de Albuquerque Fávero")</f>
        <v>organização de Maria de Lourdes de Albuquerque Fávero</v>
      </c>
      <c r="C889" s="24" t="str">
        <f>IFERROR(__xludf.DUMMYFUNCTION("""COMPUTED_VALUE"""),"Rio de Janeiro")</f>
        <v>Rio de Janeiro</v>
      </c>
      <c r="D889" s="24" t="str">
        <f>IFERROR(__xludf.DUMMYFUNCTION("""COMPUTED_VALUE"""),"Editora UFRJ")</f>
        <v>Editora UFRJ</v>
      </c>
      <c r="E889" s="25">
        <f>IFERROR(__xludf.DUMMYFUNCTION("""COMPUTED_VALUE"""),2000.0)</f>
        <v>2000</v>
      </c>
      <c r="F889" s="24" t="str">
        <f>IFERROR(__xludf.DUMMYFUNCTION("""COMPUTED_VALUE"""),"Universidade Federal do Rio de Janeiro; Leis; Decretos; Universidades públicas ")</f>
        <v>Universidade Federal do Rio de Janeiro; Leis; Decretos; Universidades públicas </v>
      </c>
      <c r="G889" s="28" t="str">
        <f>IFERROR(__xludf.DUMMYFUNCTION("""COMPUTED_VALUE"""),"8571082308")</f>
        <v>8571082308</v>
      </c>
      <c r="H889" s="29" t="str">
        <f>IFERROR(__xludf.DUMMYFUNCTION("""COMPUTED_VALUE"""),"http://www.editora.ufrj.br/DynamicItems/livrosabertos-1/Universidade-do-Brasil-II.pdf")</f>
        <v>http://www.editora.ufrj.br/DynamicItems/livrosabertos-1/Universidade-do-Brasil-II.pdf</v>
      </c>
      <c r="I889" s="24" t="str">
        <f>IFERROR(__xludf.DUMMYFUNCTION("""COMPUTED_VALUE"""),"Ciências Humanas")</f>
        <v>Ciências Humanas</v>
      </c>
    </row>
    <row r="890">
      <c r="A890" s="24" t="str">
        <f>IFERROR(__xludf.DUMMYFUNCTION("""COMPUTED_VALUE"""),"Universidade e conhecimento: possibilidades e desafios na contemporaneidade")</f>
        <v>Universidade e conhecimento: possibilidades e desafios na contemporaneidade</v>
      </c>
      <c r="B890" s="24" t="str">
        <f>IFERROR(__xludf.DUMMYFUNCTION("""COMPUTED_VALUE"""),"Santos, Gilberto Lacerda ")</f>
        <v>Santos, Gilberto Lacerda </v>
      </c>
      <c r="C890" s="24" t="str">
        <f>IFERROR(__xludf.DUMMYFUNCTION("""COMPUTED_VALUE"""),"Porto Alegre")</f>
        <v>Porto Alegre</v>
      </c>
      <c r="D890" s="24" t="str">
        <f>IFERROR(__xludf.DUMMYFUNCTION("""COMPUTED_VALUE"""),"UFRGS")</f>
        <v>UFRGS</v>
      </c>
      <c r="E890" s="25">
        <f>IFERROR(__xludf.DUMMYFUNCTION("""COMPUTED_VALUE"""),2010.0)</f>
        <v>2010</v>
      </c>
      <c r="F890" s="24" t="str">
        <f>IFERROR(__xludf.DUMMYFUNCTION("""COMPUTED_VALUE"""),"Ensino superior; Sociologia da educação; Universidade")</f>
        <v>Ensino superior; Sociologia da educação; Universidade</v>
      </c>
      <c r="G890" s="28" t="str">
        <f>IFERROR(__xludf.DUMMYFUNCTION("""COMPUTED_VALUE"""),"9788538600954 (UFRGS) 	9788520505700 (Sulina)")</f>
        <v>9788538600954 (UFRGS) 	9788520505700 (Sulina)</v>
      </c>
      <c r="H890" s="29" t="str">
        <f>IFERROR(__xludf.DUMMYFUNCTION("""COMPUTED_VALUE"""),"http://hdl.handle.net/10183/213318")</f>
        <v>http://hdl.handle.net/10183/213318</v>
      </c>
      <c r="I890" s="24" t="str">
        <f>IFERROR(__xludf.DUMMYFUNCTION("""COMPUTED_VALUE"""),"Ciências Humanas")</f>
        <v>Ciências Humanas</v>
      </c>
    </row>
    <row r="891">
      <c r="A891" s="24" t="str">
        <f>IFERROR(__xludf.DUMMYFUNCTION("""COMPUTED_VALUE"""),"Universidade e educação básica no Brasil: a atualidade do pensamento de Paulo Freire")</f>
        <v>Universidade e educação básica no Brasil: a atualidade do pensamento de Paulo Freire</v>
      </c>
      <c r="B891" s="24" t="str">
        <f>IFERROR(__xludf.DUMMYFUNCTION("""COMPUTED_VALUE"""),"Paulo Gomes Lima (org.)")</f>
        <v>Paulo Gomes Lima (org.)</v>
      </c>
      <c r="C891" s="24" t="str">
        <f>IFERROR(__xludf.DUMMYFUNCTION("""COMPUTED_VALUE"""),"Dourados, MS")</f>
        <v>Dourados, MS</v>
      </c>
      <c r="D891" s="24" t="str">
        <f>IFERROR(__xludf.DUMMYFUNCTION("""COMPUTED_VALUE"""),"Ed. UFGD")</f>
        <v>Ed. UFGD</v>
      </c>
      <c r="E891" s="25">
        <f>IFERROR(__xludf.DUMMYFUNCTION("""COMPUTED_VALUE"""),2010.0)</f>
        <v>2010</v>
      </c>
      <c r="F891" s="24" t="str">
        <f>IFERROR(__xludf.DUMMYFUNCTION("""COMPUTED_VALUE"""),"Educação – Brasil; Educação básica")</f>
        <v>Educação – Brasil; Educação básica</v>
      </c>
      <c r="G891" s="28" t="str">
        <f>IFERROR(__xludf.DUMMYFUNCTION("""COMPUTED_VALUE"""),"9788561228750")</f>
        <v>9788561228750</v>
      </c>
      <c r="H891" s="29" t="str">
        <f>IFERROR(__xludf.DUMMYFUNCTION("""COMPUTED_VALUE"""),"http://omp.ufgd.edu.br/omp/index.php/livrosabertos/catalog/view/17/15/52-2")</f>
        <v>http://omp.ufgd.edu.br/omp/index.php/livrosabertos/catalog/view/17/15/52-2</v>
      </c>
      <c r="I891" s="24" t="str">
        <f>IFERROR(__xludf.DUMMYFUNCTION("""COMPUTED_VALUE"""),"Ciências Humanas")</f>
        <v>Ciências Humanas</v>
      </c>
    </row>
    <row r="892">
      <c r="A892" s="24" t="str">
        <f>IFERROR(__xludf.DUMMYFUNCTION("""COMPUTED_VALUE"""),"Universidade e escola: diálogos necessários à formação docente")</f>
        <v>Universidade e escola: diálogos necessários à formação docente</v>
      </c>
      <c r="B892" s="24" t="str">
        <f>IFERROR(__xludf.DUMMYFUNCTION("""COMPUTED_VALUE"""),"Schilickmann, Carlos Arcângelo; Azeredo, Jéferson Luís de; Feldhaus, Marcelo")</f>
        <v>Schilickmann, Carlos Arcângelo; Azeredo, Jéferson Luís de; Feldhaus, Marcelo</v>
      </c>
      <c r="C892" s="24" t="str">
        <f>IFERROR(__xludf.DUMMYFUNCTION("""COMPUTED_VALUE"""),"Criciúma")</f>
        <v>Criciúma</v>
      </c>
      <c r="D892" s="24" t="str">
        <f>IFERROR(__xludf.DUMMYFUNCTION("""COMPUTED_VALUE"""),"Ediunesc")</f>
        <v>Ediunesc</v>
      </c>
      <c r="E892" s="25">
        <f>IFERROR(__xludf.DUMMYFUNCTION("""COMPUTED_VALUE"""),2016.0)</f>
        <v>2016</v>
      </c>
      <c r="F892" s="24" t="str">
        <f>IFERROR(__xludf.DUMMYFUNCTION("""COMPUTED_VALUE"""),"Formação de professores; Pática de ensino; Prática docente; Processo de ensino-aprendizagem; Professores - Formação para a educação básica; Programa Institucional de Bolsa de Iniciação à Docência")</f>
        <v>Formação de professores; Pática de ensino; Prática docente; Processo de ensino-aprendizagem; Professores - Formação para a educação básica; Programa Institucional de Bolsa de Iniciação à Docência</v>
      </c>
      <c r="G892" s="28" t="str">
        <f>IFERROR(__xludf.DUMMYFUNCTION("""COMPUTED_VALUE"""),"9788584100446")</f>
        <v>9788584100446</v>
      </c>
      <c r="H892" s="29" t="str">
        <f>IFERROR(__xludf.DUMMYFUNCTION("""COMPUTED_VALUE"""),"http://repositorio.unesc.net/handle/1/3801")</f>
        <v>http://repositorio.unesc.net/handle/1/3801</v>
      </c>
      <c r="I892" s="24" t="str">
        <f>IFERROR(__xludf.DUMMYFUNCTION("""COMPUTED_VALUE"""),"Ciências Humanas")</f>
        <v>Ciências Humanas</v>
      </c>
    </row>
    <row r="893">
      <c r="A893" s="24" t="str">
        <f>IFERROR(__xludf.DUMMYFUNCTION("""COMPUTED_VALUE"""),"Universidade pública e desenvolvimento local: a presença da Universidade Estadual de Santa Cruz (UESC) no bairro do Salobrinho em Ilhéus, Bahia, no período de 1991 a 2008")</f>
        <v>Universidade pública e desenvolvimento local: a presença da Universidade Estadual de Santa Cruz (UESC) no bairro do Salobrinho em Ilhéus, Bahia, no período de 1991 a 2008</v>
      </c>
      <c r="B893" s="24" t="str">
        <f>IFERROR(__xludf.DUMMYFUNCTION("""COMPUTED_VALUE"""),"José Ricardo Rosa dos Santos")</f>
        <v>José Ricardo Rosa dos Santos</v>
      </c>
      <c r="C893" s="24" t="str">
        <f>IFERROR(__xludf.DUMMYFUNCTION("""COMPUTED_VALUE"""),"Ilhéus, BA")</f>
        <v>Ilhéus, BA</v>
      </c>
      <c r="D893" s="24" t="str">
        <f>IFERROR(__xludf.DUMMYFUNCTION("""COMPUTED_VALUE"""),"Editus")</f>
        <v>Editus</v>
      </c>
      <c r="E893" s="25">
        <f>IFERROR(__xludf.DUMMYFUNCTION("""COMPUTED_VALUE"""),2013.0)</f>
        <v>2013</v>
      </c>
      <c r="F893" s="24" t="str">
        <f>IFERROR(__xludf.DUMMYFUNCTION("""COMPUTED_VALUE"""),"Universidade Estadual de Santa Cruz; Comunidade e universidade; Universidade e; faculdades públicas – Ilhéus (BA); Salobrinho; (Ilhéus, BA) – Desenvolvimento regional")</f>
        <v>Universidade Estadual de Santa Cruz; Comunidade e universidade; Universidade e; faculdades públicas – Ilhéus (BA); Salobrinho; (Ilhéus, BA) – Desenvolvimento regional</v>
      </c>
      <c r="G893" s="28" t="str">
        <f>IFERROR(__xludf.DUMMYFUNCTION("""COMPUTED_VALUE"""),"9788574553436")</f>
        <v>9788574553436</v>
      </c>
      <c r="H893" s="29" t="str">
        <f>IFERROR(__xludf.DUMMYFUNCTION("""COMPUTED_VALUE"""),"http://www.uesc.br/editora/livrosdigitais2015/universidade_publica.pdf")</f>
        <v>http://www.uesc.br/editora/livrosdigitais2015/universidade_publica.pdf</v>
      </c>
      <c r="I893" s="24" t="str">
        <f>IFERROR(__xludf.DUMMYFUNCTION("""COMPUTED_VALUE"""),"Ciências Humanas")</f>
        <v>Ciências Humanas</v>
      </c>
    </row>
    <row r="894">
      <c r="A894" s="24" t="str">
        <f>IFERROR(__xludf.DUMMYFUNCTION("""COMPUTED_VALUE"""),"Utopias sonhadas/distopias anunciadas: feminismo, gênero e cultura queer na literatura (disponível temporariamente)")</f>
        <v>Utopias sonhadas/distopias anunciadas: feminismo, gênero e cultura queer na literatura (disponível temporariamente)</v>
      </c>
      <c r="B894" s="24" t="str">
        <f>IFERROR(__xludf.DUMMYFUNCTION("""COMPUTED_VALUE"""),"Luciana Calado Deplagne; Ildney Cavalcanti")</f>
        <v>Luciana Calado Deplagne; Ildney Cavalcanti</v>
      </c>
      <c r="C894" s="24" t="str">
        <f>IFERROR(__xludf.DUMMYFUNCTION("""COMPUTED_VALUE"""),"João Pessoa")</f>
        <v>João Pessoa</v>
      </c>
      <c r="D894" s="24" t="str">
        <f>IFERROR(__xludf.DUMMYFUNCTION("""COMPUTED_VALUE"""),"Editora da UFPB")</f>
        <v>Editora da UFPB</v>
      </c>
      <c r="E894" s="25">
        <f>IFERROR(__xludf.DUMMYFUNCTION("""COMPUTED_VALUE"""),2019.0)</f>
        <v>2019</v>
      </c>
      <c r="F894" s="24" t="str">
        <f>IFERROR(__xludf.DUMMYFUNCTION("""COMPUTED_VALUE"""),"Feministas. Utopias feministas. Distopia feminista")</f>
        <v>Feministas. Utopias feministas. Distopia feminista</v>
      </c>
      <c r="G894" s="28" t="str">
        <f>IFERROR(__xludf.DUMMYFUNCTION("""COMPUTED_VALUE"""),"9788523714543")</f>
        <v>9788523714543</v>
      </c>
      <c r="H894" s="29" t="str">
        <f>IFERROR(__xludf.DUMMYFUNCTION("""COMPUTED_VALUE"""),"http://www.editora.ufpb.br/sistema/press5/index.php/UFPB/catalog/book/146")</f>
        <v>http://www.editora.ufpb.br/sistema/press5/index.php/UFPB/catalog/book/146</v>
      </c>
      <c r="I894" s="24" t="str">
        <f>IFERROR(__xludf.DUMMYFUNCTION("""COMPUTED_VALUE"""),"Ciências Humanas")</f>
        <v>Ciências Humanas</v>
      </c>
    </row>
    <row r="895">
      <c r="A895" s="24" t="str">
        <f>IFERROR(__xludf.DUMMYFUNCTION("""COMPUTED_VALUE"""),"Velhice saudável: múltiplos olhares e múltiplos saberes ")</f>
        <v>Velhice saudável: múltiplos olhares e múltiplos saberes </v>
      </c>
      <c r="B895" s="24" t="str">
        <f>IFERROR(__xludf.DUMMYFUNCTION("""COMPUTED_VALUE"""),"Raimunda Silva d’Alencar e Márcia Valéria Diederiche, organizadoras")</f>
        <v>Raimunda Silva d’Alencar e Márcia Valéria Diederiche, organizadoras</v>
      </c>
      <c r="C895" s="24" t="str">
        <f>IFERROR(__xludf.DUMMYFUNCTION("""COMPUTED_VALUE"""),"Ilhéus, BA")</f>
        <v>Ilhéus, BA</v>
      </c>
      <c r="D895" s="24" t="str">
        <f>IFERROR(__xludf.DUMMYFUNCTION("""COMPUTED_VALUE"""),"Editus")</f>
        <v>Editus</v>
      </c>
      <c r="E895" s="25">
        <f>IFERROR(__xludf.DUMMYFUNCTION("""COMPUTED_VALUE"""),2014.0)</f>
        <v>2014</v>
      </c>
      <c r="F895" s="24" t="str">
        <f>IFERROR(__xludf.DUMMYFUNCTION("""COMPUTED_VALUE"""),"Velhice; Velhice – Aspectos sociais – Brasil; Envelhecimento; Idoso – Condições Sociais")</f>
        <v>Velhice; Velhice – Aspectos sociais – Brasil; Envelhecimento; Idoso – Condições Sociais</v>
      </c>
      <c r="G895" s="28" t="str">
        <f>IFERROR(__xludf.DUMMYFUNCTION("""COMPUTED_VALUE"""),"9788574553757")</f>
        <v>9788574553757</v>
      </c>
      <c r="H895" s="29" t="str">
        <f>IFERROR(__xludf.DUMMYFUNCTION("""COMPUTED_VALUE"""),"http://www.uesc.br/editora/livrosdigitais2016/capa_velhice_saudavel.pdf")</f>
        <v>http://www.uesc.br/editora/livrosdigitais2016/capa_velhice_saudavel.pdf</v>
      </c>
      <c r="I895" s="24" t="str">
        <f>IFERROR(__xludf.DUMMYFUNCTION("""COMPUTED_VALUE"""),"Ciências Humanas")</f>
        <v>Ciências Humanas</v>
      </c>
    </row>
    <row r="896">
      <c r="A896" s="24" t="str">
        <f>IFERROR(__xludf.DUMMYFUNCTION("""COMPUTED_VALUE"""),"Verdade na Fenomenologia de Husserl")</f>
        <v>Verdade na Fenomenologia de Husserl</v>
      </c>
      <c r="B896" s="24" t="str">
        <f>IFERROR(__xludf.DUMMYFUNCTION("""COMPUTED_VALUE"""),"José Luiz Furtado")</f>
        <v>José Luiz Furtado</v>
      </c>
      <c r="C896" s="24" t="str">
        <f>IFERROR(__xludf.DUMMYFUNCTION("""COMPUTED_VALUE"""),"Ouro Preto")</f>
        <v>Ouro Preto</v>
      </c>
      <c r="D896" s="24" t="str">
        <f>IFERROR(__xludf.DUMMYFUNCTION("""COMPUTED_VALUE"""),"UFOP")</f>
        <v>UFOP</v>
      </c>
      <c r="E896" s="25">
        <f>IFERROR(__xludf.DUMMYFUNCTION("""COMPUTED_VALUE"""),2019.0)</f>
        <v>2019</v>
      </c>
      <c r="F896" s="24" t="str">
        <f>IFERROR(__xludf.DUMMYFUNCTION("""COMPUTED_VALUE"""),"Verdade. Fenomenologia")</f>
        <v>Verdade. Fenomenologia</v>
      </c>
      <c r="G896" s="28" t="str">
        <f>IFERROR(__xludf.DUMMYFUNCTION("""COMPUTED_VALUE"""),"9788528803693")</f>
        <v>9788528803693</v>
      </c>
      <c r="H896" s="29" t="str">
        <f>IFERROR(__xludf.DUMMYFUNCTION("""COMPUTED_VALUE"""),"https://www.editora.ufop.br/index.php/editora/catalog/view/155/124/407-1")</f>
        <v>https://www.editora.ufop.br/index.php/editora/catalog/view/155/124/407-1</v>
      </c>
      <c r="I896" s="24" t="str">
        <f>IFERROR(__xludf.DUMMYFUNCTION("""COMPUTED_VALUE"""),"Ciências Humanas")</f>
        <v>Ciências Humanas</v>
      </c>
    </row>
    <row r="897">
      <c r="A897" s="24" t="str">
        <f>IFERROR(__xludf.DUMMYFUNCTION("""COMPUTED_VALUE"""),"Via a-teia para Deus e a Ética Teleológica a partir de Edmund Husserl")</f>
        <v>Via a-teia para Deus e a Ética Teleológica a partir de Edmund Husserl</v>
      </c>
      <c r="B897" s="24" t="str">
        <f>IFERROR(__xludf.DUMMYFUNCTION("""COMPUTED_VALUE"""),"Edebrande Cavalieri")</f>
        <v>Edebrande Cavalieri</v>
      </c>
      <c r="C897" s="24" t="str">
        <f>IFERROR(__xludf.DUMMYFUNCTION("""COMPUTED_VALUE"""),"Vitória")</f>
        <v>Vitória</v>
      </c>
      <c r="D897" s="24" t="str">
        <f>IFERROR(__xludf.DUMMYFUNCTION("""COMPUTED_VALUE"""),"EDUFES")</f>
        <v>EDUFES</v>
      </c>
      <c r="E897" s="25">
        <f>IFERROR(__xludf.DUMMYFUNCTION("""COMPUTED_VALUE"""),2013.0)</f>
        <v>2013</v>
      </c>
      <c r="F897" s="24" t="str">
        <f>IFERROR(__xludf.DUMMYFUNCTION("""COMPUTED_VALUE"""),"Edmund Husserl; Fenomenologia; Ética cristã")</f>
        <v>Edmund Husserl; Fenomenologia; Ética cristã</v>
      </c>
      <c r="G897" s="28" t="str">
        <f>IFERROR(__xludf.DUMMYFUNCTION("""COMPUTED_VALUE"""),"9788577721443")</f>
        <v>9788577721443</v>
      </c>
      <c r="H897" s="29" t="str">
        <f>IFERROR(__xludf.DUMMYFUNCTION("""COMPUTED_VALUE"""),"http://repositorio.ufes.br/bitstream/10/823/1/livro%20edufes%20Via%20a-teia%20para%20Deus%20e%20a%20%C3%A9tica%20teleol%C3%B3gica%20a%20partir%20de%20edmund%20husserl.pdf")</f>
        <v>http://repositorio.ufes.br/bitstream/10/823/1/livro%20edufes%20Via%20a-teia%20para%20Deus%20e%20a%20%C3%A9tica%20teleol%C3%B3gica%20a%20partir%20de%20edmund%20husserl.pdf</v>
      </c>
      <c r="I897" s="24" t="str">
        <f>IFERROR(__xludf.DUMMYFUNCTION("""COMPUTED_VALUE"""),"Ciências Humanas")</f>
        <v>Ciências Humanas</v>
      </c>
    </row>
    <row r="898">
      <c r="A898" s="24" t="str">
        <f>IFERROR(__xludf.DUMMYFUNCTION("""COMPUTED_VALUE"""),"Viagem ao Engenho de Santana")</f>
        <v>Viagem ao Engenho de Santana</v>
      </c>
      <c r="B898" s="24" t="str">
        <f>IFERROR(__xludf.DUMMYFUNCTION("""COMPUTED_VALUE"""),"Teresinha Marcis")</f>
        <v>Teresinha Marcis</v>
      </c>
      <c r="C898" s="24" t="str">
        <f>IFERROR(__xludf.DUMMYFUNCTION("""COMPUTED_VALUE"""),"Ilhéus, BA")</f>
        <v>Ilhéus, BA</v>
      </c>
      <c r="D898" s="24" t="str">
        <f>IFERROR(__xludf.DUMMYFUNCTION("""COMPUTED_VALUE"""),"Editus")</f>
        <v>Editus</v>
      </c>
      <c r="E898" s="25">
        <f>IFERROR(__xludf.DUMMYFUNCTION("""COMPUTED_VALUE"""),2000.0)</f>
        <v>2000</v>
      </c>
      <c r="F898" s="24" t="str">
        <f>IFERROR(__xludf.DUMMYFUNCTION("""COMPUTED_VALUE"""),"Engenho de Santana - História; Engenhos - Ilhéus-; (Ba) - Brasil - História; Brasil - História - Capitanias; hereditárias")</f>
        <v>Engenho de Santana - História; Engenhos - Ilhéus-; (Ba) - Brasil - História; Brasil - História - Capitanias; hereditárias</v>
      </c>
      <c r="G898" s="28" t="str">
        <f>IFERROR(__xludf.DUMMYFUNCTION("""COMPUTED_VALUE"""),"8574550167")</f>
        <v>8574550167</v>
      </c>
      <c r="H898" s="29" t="str">
        <f>IFERROR(__xludf.DUMMYFUNCTION("""COMPUTED_VALUE"""),"http://www.uesc.br/editora/livrosdigitais/vesantana.pdf")</f>
        <v>http://www.uesc.br/editora/livrosdigitais/vesantana.pdf</v>
      </c>
      <c r="I898" s="24" t="str">
        <f>IFERROR(__xludf.DUMMYFUNCTION("""COMPUTED_VALUE"""),"Ciências Humanas")</f>
        <v>Ciências Humanas</v>
      </c>
    </row>
    <row r="899">
      <c r="A899" s="24" t="str">
        <f>IFERROR(__xludf.DUMMYFUNCTION("""COMPUTED_VALUE"""),"Viajeras entre dos mundos")</f>
        <v>Viajeras entre dos mundos</v>
      </c>
      <c r="B899" s="24" t="str">
        <f>IFERROR(__xludf.DUMMYFUNCTION("""COMPUTED_VALUE"""),"Sara Beatriz Guardia")</f>
        <v>Sara Beatriz Guardia</v>
      </c>
      <c r="C899" s="24" t="str">
        <f>IFERROR(__xludf.DUMMYFUNCTION("""COMPUTED_VALUE"""),"Dourados, MS")</f>
        <v>Dourados, MS</v>
      </c>
      <c r="D899" s="24" t="str">
        <f>IFERROR(__xludf.DUMMYFUNCTION("""COMPUTED_VALUE"""),"Ed. da UFGD")</f>
        <v>Ed. da UFGD</v>
      </c>
      <c r="E899" s="25">
        <f>IFERROR(__xludf.DUMMYFUNCTION("""COMPUTED_VALUE"""),2012.0)</f>
        <v>2012</v>
      </c>
      <c r="F899" s="24" t="str">
        <f>IFERROR(__xludf.DUMMYFUNCTION("""COMPUTED_VALUE"""),"Viagens")</f>
        <v>Viagens</v>
      </c>
      <c r="G899" s="28" t="str">
        <f>IFERROR(__xludf.DUMMYFUNCTION("""COMPUTED_VALUE"""),"9788581470207")</f>
        <v>9788581470207</v>
      </c>
      <c r="H899" s="29" t="str">
        <f>IFERROR(__xludf.DUMMYFUNCTION("""COMPUTED_VALUE"""),"http://omp.ufgd.edu.br/omp/index.php/livrosabertos/catalog/view/11/10/38-1")</f>
        <v>http://omp.ufgd.edu.br/omp/index.php/livrosabertos/catalog/view/11/10/38-1</v>
      </c>
      <c r="I899" s="24" t="str">
        <f>IFERROR(__xludf.DUMMYFUNCTION("""COMPUTED_VALUE"""),"Ciências Humanas")</f>
        <v>Ciências Humanas</v>
      </c>
    </row>
    <row r="900">
      <c r="A900" s="24" t="str">
        <f>IFERROR(__xludf.DUMMYFUNCTION("""COMPUTED_VALUE"""),"Vidas no cárcere: lugar da assistência religiosa")</f>
        <v>Vidas no cárcere: lugar da assistência religiosa</v>
      </c>
      <c r="B900" s="24" t="str">
        <f>IFERROR(__xludf.DUMMYFUNCTION("""COMPUTED_VALUE"""),"André Mota do Livramento, Edinete Maria Rosa")</f>
        <v>André Mota do Livramento, Edinete Maria Rosa</v>
      </c>
      <c r="C900" s="24" t="str">
        <f>IFERROR(__xludf.DUMMYFUNCTION("""COMPUTED_VALUE"""),"Vitória")</f>
        <v>Vitória</v>
      </c>
      <c r="D900" s="24" t="str">
        <f>IFERROR(__xludf.DUMMYFUNCTION("""COMPUTED_VALUE"""),"EDUFES")</f>
        <v>EDUFES</v>
      </c>
      <c r="E900" s="25">
        <f>IFERROR(__xludf.DUMMYFUNCTION("""COMPUTED_VALUE"""),2015.0)</f>
        <v>2015</v>
      </c>
      <c r="F900" s="24" t="str">
        <f>IFERROR(__xludf.DUMMYFUNCTION("""COMPUTED_VALUE"""),"Prisões; Prisioneiros; Religiosidade")</f>
        <v>Prisões; Prisioneiros; Religiosidade</v>
      </c>
      <c r="G900" s="28" t="str">
        <f>IFERROR(__xludf.DUMMYFUNCTION("""COMPUTED_VALUE"""),"9788577722891")</f>
        <v>9788577722891</v>
      </c>
      <c r="H900" s="29" t="str">
        <f>IFERROR(__xludf.DUMMYFUNCTION("""COMPUTED_VALUE"""),"http://repositorio.ufes.br/handle/10/6774")</f>
        <v>http://repositorio.ufes.br/handle/10/6774</v>
      </c>
      <c r="I900" s="24" t="str">
        <f>IFERROR(__xludf.DUMMYFUNCTION("""COMPUTED_VALUE"""),"Ciências Humanas")</f>
        <v>Ciências Humanas</v>
      </c>
    </row>
    <row r="901">
      <c r="A901" s="24" t="str">
        <f>IFERROR(__xludf.DUMMYFUNCTION("""COMPUTED_VALUE"""),"Violências e resistências: estudos de gênero, raça e sexualidade ")</f>
        <v>Violências e resistências: estudos de gênero, raça e sexualidade </v>
      </c>
      <c r="B901" s="24" t="str">
        <f>IFERROR(__xludf.DUMMYFUNCTION("""COMPUTED_VALUE"""),"Bárbara Johas, Marcela Amaral e Rossana Marinho (org.)")</f>
        <v>Bárbara Johas, Marcela Amaral e Rossana Marinho (org.)</v>
      </c>
      <c r="C901" s="24" t="str">
        <f>IFERROR(__xludf.DUMMYFUNCTION("""COMPUTED_VALUE"""),"Teresina")</f>
        <v>Teresina</v>
      </c>
      <c r="D901" s="24" t="str">
        <f>IFERROR(__xludf.DUMMYFUNCTION("""COMPUTED_VALUE"""),"EDUFPI")</f>
        <v>EDUFPI</v>
      </c>
      <c r="E901" s="25">
        <f>IFERROR(__xludf.DUMMYFUNCTION("""COMPUTED_VALUE"""),2020.0)</f>
        <v>2020</v>
      </c>
      <c r="F901" s="24" t="str">
        <f>IFERROR(__xludf.DUMMYFUNCTION("""COMPUTED_VALUE"""),"Gênero; Raça; Resistências; Sexualidade; Violências")</f>
        <v>Gênero; Raça; Resistências; Sexualidade; Violências</v>
      </c>
      <c r="G901" s="28" t="str">
        <f>IFERROR(__xludf.DUMMYFUNCTION("""COMPUTED_VALUE"""),"9786586171198")</f>
        <v>9786586171198</v>
      </c>
      <c r="H901" s="29" t="str">
        <f>IFERROR(__xludf.DUMMYFUNCTION("""COMPUTED_VALUE"""),"https://www.ufpi.br/arquivos_download/arquivos/Livro_Viol%C3%AAncias_e_Resist%C3%AAncias_COMPLETO20200520211949.pdf")</f>
        <v>https://www.ufpi.br/arquivos_download/arquivos/Livro_Viol%C3%AAncias_e_Resist%C3%AAncias_COMPLETO20200520211949.pdf</v>
      </c>
      <c r="I901" s="24" t="str">
        <f>IFERROR(__xludf.DUMMYFUNCTION("""COMPUTED_VALUE"""),"Ciências Humanas")</f>
        <v>Ciências Humanas</v>
      </c>
    </row>
    <row r="902">
      <c r="A902" s="24" t="str">
        <f>IFERROR(__xludf.DUMMYFUNCTION("""COMPUTED_VALUE"""),"VISÕES DA ÁFRICA, CULTURA HISTÓRICA E AFRO-BRASILIDADES (1944-1988)")</f>
        <v>VISÕES DA ÁFRICA, CULTURA HISTÓRICA E AFRO-BRASILIDADES (1944-1988)</v>
      </c>
      <c r="B902" s="24" t="str">
        <f>IFERROR(__xludf.DUMMYFUNCTION("""COMPUTED_VALUE"""),"Elio Chaves Flores.")</f>
        <v>Elio Chaves Flores.</v>
      </c>
      <c r="C902" s="24" t="str">
        <f>IFERROR(__xludf.DUMMYFUNCTION("""COMPUTED_VALUE"""),"João Pessoa")</f>
        <v>João Pessoa</v>
      </c>
      <c r="D902" s="24" t="str">
        <f>IFERROR(__xludf.DUMMYFUNCTION("""COMPUTED_VALUE"""),"Editora da UFPB")</f>
        <v>Editora da UFPB</v>
      </c>
      <c r="E902" s="25">
        <f>IFERROR(__xludf.DUMMYFUNCTION("""COMPUTED_VALUE"""),2017.0)</f>
        <v>2017</v>
      </c>
      <c r="F902" s="24" t="str">
        <f>IFERROR(__xludf.DUMMYFUNCTION("""COMPUTED_VALUE"""),"Movimentos sociais afro-brasileiros; Pretos e pardos; Cultural africana no Brasil")</f>
        <v>Movimentos sociais afro-brasileiros; Pretos e pardos; Cultural africana no Brasil</v>
      </c>
      <c r="G902" s="28" t="str">
        <f>IFERROR(__xludf.DUMMYFUNCTION("""COMPUTED_VALUE"""),"97898523712310")</f>
        <v>97898523712310</v>
      </c>
      <c r="H902" s="29" t="str">
        <f>IFERROR(__xludf.DUMMYFUNCTION("""COMPUTED_VALUE"""),"http://www.editora.ufpb.br/sistema/press5/index.php/UFPB/catalog/book/103")</f>
        <v>http://www.editora.ufpb.br/sistema/press5/index.php/UFPB/catalog/book/103</v>
      </c>
      <c r="I902" s="24" t="str">
        <f>IFERROR(__xludf.DUMMYFUNCTION("""COMPUTED_VALUE"""),"Ciências Humanas")</f>
        <v>Ciências Humanas</v>
      </c>
    </row>
    <row r="903">
      <c r="A903" s="24" t="str">
        <f>IFERROR(__xludf.DUMMYFUNCTION("""COMPUTED_VALUE"""),"Visões da Copa de 1970: entrevistas de história oral com jogadores da Seleção*")</f>
        <v>Visões da Copa de 1970: entrevistas de história oral com jogadores da Seleção*</v>
      </c>
      <c r="B903" s="24" t="str">
        <f>IFERROR(__xludf.DUMMYFUNCTION("""COMPUTED_VALUE"""),"Organizadores: Bernardo Buarque de Hollanda e Daniela Alfonsi")</f>
        <v>Organizadores: Bernardo Buarque de Hollanda e Daniela Alfonsi</v>
      </c>
      <c r="C903" s="24" t="str">
        <f>IFERROR(__xludf.DUMMYFUNCTION("""COMPUTED_VALUE"""),"São Carlos")</f>
        <v>São Carlos</v>
      </c>
      <c r="D903" s="24" t="str">
        <f>IFERROR(__xludf.DUMMYFUNCTION("""COMPUTED_VALUE"""),"EdUFSCar")</f>
        <v>EdUFSCar</v>
      </c>
      <c r="E903" s="25">
        <f>IFERROR(__xludf.DUMMYFUNCTION("""COMPUTED_VALUE"""),2020.0)</f>
        <v>2020</v>
      </c>
      <c r="F903" s="24" t="str">
        <f>IFERROR(__xludf.DUMMYFUNCTION("""COMPUTED_VALUE"""),"Futebol; Memória; Copas do mundo; História oral")</f>
        <v>Futebol; Memória; Copas do mundo; História oral</v>
      </c>
      <c r="G903" s="28" t="str">
        <f>IFERROR(__xludf.DUMMYFUNCTION("""COMPUTED_VALUE"""),"9786586768022")</f>
        <v>9786586768022</v>
      </c>
      <c r="H903" s="29" t="str">
        <f>IFERROR(__xludf.DUMMYFUNCTION("""COMPUTED_VALUE"""),"https://www.edufscar.com.br/farol/edufscar/ebook/visoes-da-copa-de-1970-entrevistas-de-historia-oral-com-jogadores-da-selecao/1304696/")</f>
        <v>https://www.edufscar.com.br/farol/edufscar/ebook/visoes-da-copa-de-1970-entrevistas-de-historia-oral-com-jogadores-da-selecao/1304696/</v>
      </c>
      <c r="I903" s="24" t="str">
        <f>IFERROR(__xludf.DUMMYFUNCTION("""COMPUTED_VALUE"""),"Ciências Humanas")</f>
        <v>Ciências Humanas</v>
      </c>
    </row>
    <row r="904">
      <c r="A904" s="24" t="str">
        <f>IFERROR(__xludf.DUMMYFUNCTION("""COMPUTED_VALUE"""),"Vivências interdisciplinares e diálogos interculturais na formação de professor indígena")</f>
        <v>Vivências interdisciplinares e diálogos interculturais na formação de professor indígena</v>
      </c>
      <c r="B904" s="24" t="str">
        <f>IFERROR(__xludf.DUMMYFUNCTION("""COMPUTED_VALUE"""),"Jonildo Viana dos Santos; Marcos Antonio Braga de Freitas; Simone Rodrigues Batista Mendes (org.); ")</f>
        <v>Jonildo Viana dos Santos; Marcos Antonio Braga de Freitas; Simone Rodrigues Batista Mendes (org.); </v>
      </c>
      <c r="C904" s="24" t="str">
        <f>IFERROR(__xludf.DUMMYFUNCTION("""COMPUTED_VALUE"""),"Boa Vista ")</f>
        <v>Boa Vista </v>
      </c>
      <c r="D904" s="24" t="str">
        <f>IFERROR(__xludf.DUMMYFUNCTION("""COMPUTED_VALUE"""),"UFRR")</f>
        <v>UFRR</v>
      </c>
      <c r="E904" s="25">
        <f>IFERROR(__xludf.DUMMYFUNCTION("""COMPUTED_VALUE"""),2019.0)</f>
        <v>2019</v>
      </c>
      <c r="F904" s="24" t="str">
        <f>IFERROR(__xludf.DUMMYFUNCTION("""COMPUTED_VALUE"""),"Educação superior; Formação de professores; Educação indígena")</f>
        <v>Educação superior; Formação de professores; Educação indígena</v>
      </c>
      <c r="G904" s="28" t="str">
        <f>IFERROR(__xludf.DUMMYFUNCTION("""COMPUTED_VALUE"""),"9788582882405")</f>
        <v>9788582882405</v>
      </c>
      <c r="H904" s="29" t="str">
        <f>IFERROR(__xludf.DUMMYFUNCTION("""COMPUTED_VALUE"""),"http://ufrr.br/editora/index.php/editais?download=425")</f>
        <v>http://ufrr.br/editora/index.php/editais?download=425</v>
      </c>
      <c r="I904" s="24" t="str">
        <f>IFERROR(__xludf.DUMMYFUNCTION("""COMPUTED_VALUE"""),"Ciências Humanas")</f>
        <v>Ciências Humanas</v>
      </c>
    </row>
    <row r="905">
      <c r="A905" s="24" t="str">
        <f>IFERROR(__xludf.DUMMYFUNCTION("""COMPUTED_VALUE"""),"Vivências interdisciplinares e diálogos interculturais na formação de professor indígena: relatos de experiências na formação superior ")</f>
        <v>Vivências interdisciplinares e diálogos interculturais na formação de professor indígena: relatos de experiências na formação superior </v>
      </c>
      <c r="B905" s="24" t="str">
        <f>IFERROR(__xludf.DUMMYFUNCTION("""COMPUTED_VALUE"""),"Danielle Trindade; Mariana Souza da Cunha; Naira Lamarão; Ricardo Carvalho dos Santos (org.)")</f>
        <v>Danielle Trindade; Mariana Souza da Cunha; Naira Lamarão; Ricardo Carvalho dos Santos (org.)</v>
      </c>
      <c r="C905" s="24" t="str">
        <f>IFERROR(__xludf.DUMMYFUNCTION("""COMPUTED_VALUE"""),"Boa Vista ")</f>
        <v>Boa Vista </v>
      </c>
      <c r="D905" s="24" t="str">
        <f>IFERROR(__xludf.DUMMYFUNCTION("""COMPUTED_VALUE"""),"UFRR")</f>
        <v>UFRR</v>
      </c>
      <c r="E905" s="25">
        <f>IFERROR(__xludf.DUMMYFUNCTION("""COMPUTED_VALUE"""),2019.0)</f>
        <v>2019</v>
      </c>
      <c r="F905" s="24" t="str">
        <f>IFERROR(__xludf.DUMMYFUNCTION("""COMPUTED_VALUE"""),"Educação indígena; Formação de professores; Ensino aprendizagem; Universidade Federal de Roraima; Recursos didáticos")</f>
        <v>Educação indígena; Formação de professores; Ensino aprendizagem; Universidade Federal de Roraima; Recursos didáticos</v>
      </c>
      <c r="G905" s="28" t="str">
        <f>IFERROR(__xludf.DUMMYFUNCTION("""COMPUTED_VALUE"""),"9788582882382")</f>
        <v>9788582882382</v>
      </c>
      <c r="H905" s="29" t="str">
        <f>IFERROR(__xludf.DUMMYFUNCTION("""COMPUTED_VALUE"""),"http://ufrr.br/editora/index.php/editais?download=424")</f>
        <v>http://ufrr.br/editora/index.php/editais?download=424</v>
      </c>
      <c r="I905" s="24" t="str">
        <f>IFERROR(__xludf.DUMMYFUNCTION("""COMPUTED_VALUE"""),"Ciências Humanas")</f>
        <v>Ciências Humanas</v>
      </c>
    </row>
    <row r="906">
      <c r="A906" s="24" t="str">
        <f>IFERROR(__xludf.DUMMYFUNCTION("""COMPUTED_VALUE"""),"Vivências pedagógicas no PIBID Unoesc")</f>
        <v>Vivências pedagógicas no PIBID Unoesc</v>
      </c>
      <c r="B906" s="24" t="str">
        <f>IFERROR(__xludf.DUMMYFUNCTION("""COMPUTED_VALUE"""),"Regina Oneda Mello, Patrícia Aparecida Pedroso")</f>
        <v>Regina Oneda Mello, Patrícia Aparecida Pedroso</v>
      </c>
      <c r="C906" s="24" t="str">
        <f>IFERROR(__xludf.DUMMYFUNCTION("""COMPUTED_VALUE"""),"Joaçaba")</f>
        <v>Joaçaba</v>
      </c>
      <c r="D906" s="24" t="str">
        <f>IFERROR(__xludf.DUMMYFUNCTION("""COMPUTED_VALUE"""),"Unoesc")</f>
        <v>Unoesc</v>
      </c>
      <c r="E906" s="25">
        <f>IFERROR(__xludf.DUMMYFUNCTION("""COMPUTED_VALUE"""),2017.0)</f>
        <v>2017</v>
      </c>
      <c r="F906" s="24" t="str">
        <f>IFERROR(__xludf.DUMMYFUNCTION("""COMPUTED_VALUE"""),"Educação - Pesquisa, Didática - Pesquisa")</f>
        <v>Educação - Pesquisa, Didática - Pesquisa</v>
      </c>
      <c r="G906" s="28" t="str">
        <f>IFERROR(__xludf.DUMMYFUNCTION("""COMPUTED_VALUE"""),"9788584221554")</f>
        <v>9788584221554</v>
      </c>
      <c r="H906" s="29" t="str">
        <f>IFERROR(__xludf.DUMMYFUNCTION("""COMPUTED_VALUE"""),"https://www.unoesc.edu.br/images/uploads/editora/vivencias_pedagogicas_no_pibid_unoesc.pdf")</f>
        <v>https://www.unoesc.edu.br/images/uploads/editora/vivencias_pedagogicas_no_pibid_unoesc.pdf</v>
      </c>
      <c r="I906" s="24" t="str">
        <f>IFERROR(__xludf.DUMMYFUNCTION("""COMPUTED_VALUE"""),"Ciências Humanas")</f>
        <v>Ciências Humanas</v>
      </c>
    </row>
    <row r="907">
      <c r="A907" s="24" t="str">
        <f>IFERROR(__xludf.DUMMYFUNCTION("""COMPUTED_VALUE"""),"Vozes de mulheres da idade média (disponível temporariamente)")</f>
        <v>Vozes de mulheres da idade média (disponível temporariamente)</v>
      </c>
      <c r="B907" s="24" t="str">
        <f>IFERROR(__xludf.DUMMYFUNCTION("""COMPUTED_VALUE"""),"Cláudia Costa Brochado, Luciana Calado Deplagne (organizadoras)")</f>
        <v>Cláudia Costa Brochado, Luciana Calado Deplagne (organizadoras)</v>
      </c>
      <c r="C907" s="24" t="str">
        <f>IFERROR(__xludf.DUMMYFUNCTION("""COMPUTED_VALUE"""),"João Pessoa")</f>
        <v>João Pessoa</v>
      </c>
      <c r="D907" s="24" t="str">
        <f>IFERROR(__xludf.DUMMYFUNCTION("""COMPUTED_VALUE"""),"Editora da UFPB")</f>
        <v>Editora da UFPB</v>
      </c>
      <c r="E907" s="25">
        <f>IFERROR(__xludf.DUMMYFUNCTION("""COMPUTED_VALUE"""),2018.0)</f>
        <v>2018</v>
      </c>
      <c r="F907" s="24" t="str">
        <f>IFERROR(__xludf.DUMMYFUNCTION("""COMPUTED_VALUE"""),"Feminismo; Idade Média; Mulheres; Condições sociais")</f>
        <v>Feminismo; Idade Média; Mulheres; Condições sociais</v>
      </c>
      <c r="G907" s="28" t="str">
        <f>IFERROR(__xludf.DUMMYFUNCTION("""COMPUTED_VALUE"""),"9788523713768")</f>
        <v>9788523713768</v>
      </c>
      <c r="H907" s="29" t="str">
        <f>IFERROR(__xludf.DUMMYFUNCTION("""COMPUTED_VALUE"""),"http://www.editora.ufpb.br/sistema/press5/index.php/UFPB/catalog/book/464")</f>
        <v>http://www.editora.ufpb.br/sistema/press5/index.php/UFPB/catalog/book/464</v>
      </c>
      <c r="I907" s="24" t="str">
        <f>IFERROR(__xludf.DUMMYFUNCTION("""COMPUTED_VALUE"""),"Ciências Humanas")</f>
        <v>Ciências Humanas</v>
      </c>
    </row>
    <row r="908">
      <c r="A908" s="24" t="str">
        <f>IFERROR(__xludf.DUMMYFUNCTION("""COMPUTED_VALUE"""),"Work in Brazil – Essays in historical and economic sociology*")</f>
        <v>Work in Brazil – Essays in historical and economic sociology*</v>
      </c>
      <c r="B908" s="24" t="str">
        <f>IFERROR(__xludf.DUMMYFUNCTION("""COMPUTED_VALUE"""),"Adalberto Cardoso")</f>
        <v>Adalberto Cardoso</v>
      </c>
      <c r="C908" s="24" t="str">
        <f>IFERROR(__xludf.DUMMYFUNCTION("""COMPUTED_VALUE"""),"Rio de Janeiro")</f>
        <v>Rio de Janeiro</v>
      </c>
      <c r="D908" s="24" t="str">
        <f>IFERROR(__xludf.DUMMYFUNCTION("""COMPUTED_VALUE"""),"EdUERJ")</f>
        <v>EdUERJ</v>
      </c>
      <c r="E908" s="25">
        <f>IFERROR(__xludf.DUMMYFUNCTION("""COMPUTED_VALUE"""),2016.0)</f>
        <v>2016</v>
      </c>
      <c r="F908" s="24" t="str">
        <f>IFERROR(__xludf.DUMMYFUNCTION("""COMPUTED_VALUE"""),"Sociologia do trabalho; Ensaios históricos; Ensaios econômicos")</f>
        <v>Sociologia do trabalho; Ensaios históricos; Ensaios econômicos</v>
      </c>
      <c r="G908" s="28" t="str">
        <f>IFERROR(__xludf.DUMMYFUNCTION("""COMPUTED_VALUE"""),"9788575114308")</f>
        <v>9788575114308</v>
      </c>
      <c r="H908" s="29" t="str">
        <f>IFERROR(__xludf.DUMMYFUNCTION("""COMPUTED_VALUE"""),"https://www.eduerj.com/eng/?product=work-in-brazil-essays-in-historical-and-economic-sociology")</f>
        <v>https://www.eduerj.com/eng/?product=work-in-brazil-essays-in-historical-and-economic-sociology</v>
      </c>
      <c r="I908" s="24" t="str">
        <f>IFERROR(__xludf.DUMMYFUNCTION("""COMPUTED_VALUE"""),"Ciências Humanas")</f>
        <v>Ciências Humanas</v>
      </c>
    </row>
    <row r="909">
      <c r="A909" s="24" t="str">
        <f>IFERROR(__xludf.DUMMYFUNCTION("""COMPUTED_VALUE"""),"XI CCHLA Conhecimento em Debate: Universidade e desafios do tempo presente: homenagem a Eleonora Menicucci")</f>
        <v>XI CCHLA Conhecimento em Debate: Universidade e desafios do tempo presente: homenagem a Eleonora Menicucci</v>
      </c>
      <c r="B909" s="24" t="str">
        <f>IFERROR(__xludf.DUMMYFUNCTION("""COMPUTED_VALUE"""),"Rodrigo Frereira de Carvalho, Monica Nobrega. ")</f>
        <v>Rodrigo Frereira de Carvalho, Monica Nobrega. </v>
      </c>
      <c r="C909" s="24" t="str">
        <f>IFERROR(__xludf.DUMMYFUNCTION("""COMPUTED_VALUE"""),"João Pessoa")</f>
        <v>João Pessoa</v>
      </c>
      <c r="D909" s="24" t="str">
        <f>IFERROR(__xludf.DUMMYFUNCTION("""COMPUTED_VALUE"""),"Editora da UFPB")</f>
        <v>Editora da UFPB</v>
      </c>
      <c r="E909" s="25">
        <f>IFERROR(__xludf.DUMMYFUNCTION("""COMPUTED_VALUE"""),2019.0)</f>
        <v>2019</v>
      </c>
      <c r="F909" s="24" t="str">
        <f>IFERROR(__xludf.DUMMYFUNCTION("""COMPUTED_VALUE"""),"Educação superior - Debates; Ciências humanas")</f>
        <v>Educação superior - Debates; Ciências humanas</v>
      </c>
      <c r="G909" s="28" t="str">
        <f>IFERROR(__xludf.DUMMYFUNCTION("""COMPUTED_VALUE"""),"9788523713157")</f>
        <v>9788523713157</v>
      </c>
      <c r="H909" s="29" t="str">
        <f>IFERROR(__xludf.DUMMYFUNCTION("""COMPUTED_VALUE"""),"http://www.editora.ufpb.br/sistema/press5/index.php/UFPB/catalog/book/124")</f>
        <v>http://www.editora.ufpb.br/sistema/press5/index.php/UFPB/catalog/book/124</v>
      </c>
      <c r="I909" s="24" t="str">
        <f>IFERROR(__xludf.DUMMYFUNCTION("""COMPUTED_VALUE"""),"Ciências Humanas")</f>
        <v>Ciências Humanas</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location="038;masterkey=5ed29b6c9c57e"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location="038;masterkey=5dee43e03e85c"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ref="H91"/>
    <hyperlink r:id="rId91" ref="H92"/>
    <hyperlink r:id="rId92" ref="H93"/>
    <hyperlink r:id="rId93" ref="H94"/>
    <hyperlink r:id="rId94" ref="H95"/>
    <hyperlink r:id="rId95" ref="H96"/>
    <hyperlink r:id="rId96"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ref="H131"/>
    <hyperlink r:id="rId131" ref="H132"/>
    <hyperlink r:id="rId132" ref="H133"/>
    <hyperlink r:id="rId133" ref="H134"/>
    <hyperlink r:id="rId134" ref="H135"/>
    <hyperlink r:id="rId135" ref="H136"/>
    <hyperlink r:id="rId136" ref="H137"/>
    <hyperlink r:id="rId137" ref="H138"/>
    <hyperlink r:id="rId138" ref="H139"/>
    <hyperlink r:id="rId139" ref="H140"/>
    <hyperlink r:id="rId140" ref="H141"/>
    <hyperlink r:id="rId141" ref="H142"/>
    <hyperlink r:id="rId142" ref="H143"/>
    <hyperlink r:id="rId143" ref="H144"/>
    <hyperlink r:id="rId144" ref="H145"/>
    <hyperlink r:id="rId145" ref="H146"/>
    <hyperlink r:id="rId146" ref="H147"/>
    <hyperlink r:id="rId147" ref="H148"/>
    <hyperlink r:id="rId148" ref="H149"/>
    <hyperlink r:id="rId149" ref="H150"/>
    <hyperlink r:id="rId150" ref="H151"/>
    <hyperlink r:id="rId151" ref="H152"/>
    <hyperlink r:id="rId152" ref="H153"/>
    <hyperlink r:id="rId153" ref="H154"/>
    <hyperlink r:id="rId154" ref="H155"/>
    <hyperlink r:id="rId155" ref="H156"/>
    <hyperlink r:id="rId156" ref="H157"/>
    <hyperlink r:id="rId157" ref="H158"/>
    <hyperlink r:id="rId158" ref="H159"/>
    <hyperlink r:id="rId159" ref="H160"/>
    <hyperlink r:id="rId160" ref="H161"/>
    <hyperlink r:id="rId161" ref="H162"/>
    <hyperlink r:id="rId162" ref="H163"/>
    <hyperlink r:id="rId163" ref="H164"/>
    <hyperlink r:id="rId164" ref="H165"/>
    <hyperlink r:id="rId165" ref="H166"/>
    <hyperlink r:id="rId166" ref="H167"/>
    <hyperlink r:id="rId167" ref="H168"/>
    <hyperlink r:id="rId168" ref="H169"/>
    <hyperlink r:id="rId169" ref="H170"/>
    <hyperlink r:id="rId170" ref="H171"/>
    <hyperlink r:id="rId171" ref="H172"/>
    <hyperlink r:id="rId172" ref="H173"/>
    <hyperlink r:id="rId173" ref="H174"/>
    <hyperlink r:id="rId174" ref="H175"/>
    <hyperlink r:id="rId175" ref="H176"/>
    <hyperlink r:id="rId176" ref="H177"/>
    <hyperlink r:id="rId177" ref="H178"/>
    <hyperlink r:id="rId178" ref="H179"/>
    <hyperlink r:id="rId179" ref="H180"/>
    <hyperlink r:id="rId180" ref="H181"/>
    <hyperlink r:id="rId181" ref="H182"/>
    <hyperlink r:id="rId182" ref="H183"/>
    <hyperlink r:id="rId183" ref="H184"/>
    <hyperlink r:id="rId184" ref="H185"/>
    <hyperlink r:id="rId185" ref="H186"/>
    <hyperlink r:id="rId186" ref="H187"/>
    <hyperlink r:id="rId187" ref="H188"/>
    <hyperlink r:id="rId188" ref="H189"/>
    <hyperlink r:id="rId189" ref="H190"/>
    <hyperlink r:id="rId190" ref="H191"/>
    <hyperlink r:id="rId191" ref="H192"/>
    <hyperlink r:id="rId192" ref="H193"/>
    <hyperlink r:id="rId193" ref="H194"/>
    <hyperlink r:id="rId194" ref="H195"/>
    <hyperlink r:id="rId195" ref="H196"/>
    <hyperlink r:id="rId196" ref="H197"/>
    <hyperlink r:id="rId197" ref="H198"/>
    <hyperlink r:id="rId198" ref="H199"/>
    <hyperlink r:id="rId199" ref="H200"/>
    <hyperlink r:id="rId200" ref="H201"/>
    <hyperlink r:id="rId201" ref="H202"/>
    <hyperlink r:id="rId202" ref="H203"/>
    <hyperlink r:id="rId203" ref="H204"/>
    <hyperlink r:id="rId204" ref="H205"/>
    <hyperlink r:id="rId205" ref="H206"/>
    <hyperlink r:id="rId206" ref="H207"/>
    <hyperlink r:id="rId207" ref="H208"/>
    <hyperlink r:id="rId208" ref="H209"/>
    <hyperlink r:id="rId209" ref="H210"/>
    <hyperlink r:id="rId210" ref="H211"/>
    <hyperlink r:id="rId211" ref="H212"/>
    <hyperlink r:id="rId212" ref="H213"/>
    <hyperlink r:id="rId213" ref="H214"/>
    <hyperlink r:id="rId214" ref="H215"/>
    <hyperlink r:id="rId215" ref="H216"/>
    <hyperlink r:id="rId216" ref="H217"/>
    <hyperlink r:id="rId217" ref="H218"/>
    <hyperlink r:id="rId218" ref="H219"/>
    <hyperlink r:id="rId219" ref="H220"/>
    <hyperlink r:id="rId220" ref="H221"/>
    <hyperlink r:id="rId221" ref="H222"/>
    <hyperlink r:id="rId222" ref="H223"/>
    <hyperlink r:id="rId223" ref="H224"/>
    <hyperlink r:id="rId224" ref="H225"/>
    <hyperlink r:id="rId225" ref="H226"/>
    <hyperlink r:id="rId226" ref="H227"/>
    <hyperlink r:id="rId227" ref="H228"/>
    <hyperlink r:id="rId228" ref="H229"/>
    <hyperlink r:id="rId229" ref="H230"/>
    <hyperlink r:id="rId230" ref="H231"/>
    <hyperlink r:id="rId231" ref="H232"/>
    <hyperlink r:id="rId232" ref="H233"/>
    <hyperlink r:id="rId233" ref="H234"/>
    <hyperlink r:id="rId234" ref="H235"/>
    <hyperlink r:id="rId235" ref="H236"/>
    <hyperlink r:id="rId236" ref="H237"/>
    <hyperlink r:id="rId237" ref="H238"/>
    <hyperlink r:id="rId238" ref="H239"/>
    <hyperlink r:id="rId239" ref="H240"/>
    <hyperlink r:id="rId240" ref="H241"/>
    <hyperlink r:id="rId241" ref="H242"/>
    <hyperlink r:id="rId242" ref="H243"/>
    <hyperlink r:id="rId243" ref="H244"/>
    <hyperlink r:id="rId244" ref="H245"/>
    <hyperlink r:id="rId245" ref="H246"/>
    <hyperlink r:id="rId246" ref="H247"/>
    <hyperlink r:id="rId247" ref="H248"/>
    <hyperlink r:id="rId248" ref="H249"/>
    <hyperlink r:id="rId249" ref="H250"/>
    <hyperlink r:id="rId250" ref="H251"/>
    <hyperlink r:id="rId251" ref="H252"/>
    <hyperlink r:id="rId252" ref="H253"/>
    <hyperlink r:id="rId253" ref="H254"/>
    <hyperlink r:id="rId254" ref="H255"/>
    <hyperlink r:id="rId255" ref="H256"/>
    <hyperlink r:id="rId256" ref="H257"/>
    <hyperlink r:id="rId257" ref="H258"/>
    <hyperlink r:id="rId258" ref="H259"/>
    <hyperlink r:id="rId259" ref="H260"/>
    <hyperlink r:id="rId260" ref="H261"/>
    <hyperlink r:id="rId261" ref="H262"/>
    <hyperlink r:id="rId262" ref="H263"/>
    <hyperlink r:id="rId263" ref="H264"/>
    <hyperlink r:id="rId264" ref="H265"/>
    <hyperlink r:id="rId265" ref="H266"/>
    <hyperlink r:id="rId266" ref="H267"/>
    <hyperlink r:id="rId267" ref="H268"/>
    <hyperlink r:id="rId268" ref="H269"/>
    <hyperlink r:id="rId269" ref="H270"/>
    <hyperlink r:id="rId270" ref="H271"/>
    <hyperlink r:id="rId271" ref="H272"/>
    <hyperlink r:id="rId272" ref="H273"/>
    <hyperlink r:id="rId273" ref="H274"/>
    <hyperlink r:id="rId274" ref="H275"/>
    <hyperlink r:id="rId275" ref="H276"/>
    <hyperlink r:id="rId276" ref="H277"/>
    <hyperlink r:id="rId277" ref="H278"/>
    <hyperlink r:id="rId278" ref="H279"/>
    <hyperlink r:id="rId279" ref="H280"/>
    <hyperlink r:id="rId280" ref="H281"/>
    <hyperlink r:id="rId281" ref="H282"/>
    <hyperlink r:id="rId282" ref="H283"/>
    <hyperlink r:id="rId283" ref="H284"/>
    <hyperlink r:id="rId284" ref="H285"/>
    <hyperlink r:id="rId285" ref="H286"/>
    <hyperlink r:id="rId286" ref="H287"/>
    <hyperlink r:id="rId287" ref="H288"/>
    <hyperlink r:id="rId288" ref="H289"/>
    <hyperlink r:id="rId289" ref="H290"/>
    <hyperlink r:id="rId290" ref="H291"/>
    <hyperlink r:id="rId291" ref="H292"/>
    <hyperlink r:id="rId292" ref="H293"/>
    <hyperlink r:id="rId293" ref="H294"/>
    <hyperlink r:id="rId294" ref="H295"/>
    <hyperlink r:id="rId295" ref="H296"/>
    <hyperlink r:id="rId296" ref="H297"/>
    <hyperlink r:id="rId297" ref="H298"/>
    <hyperlink r:id="rId298" ref="H299"/>
    <hyperlink r:id="rId299" ref="H300"/>
    <hyperlink r:id="rId300" ref="H301"/>
    <hyperlink r:id="rId301" ref="H302"/>
    <hyperlink r:id="rId302" ref="H303"/>
    <hyperlink r:id="rId303" ref="H304"/>
    <hyperlink r:id="rId304" ref="H305"/>
    <hyperlink r:id="rId305" ref="H306"/>
    <hyperlink r:id="rId306" ref="H307"/>
    <hyperlink r:id="rId307" ref="H308"/>
    <hyperlink r:id="rId308" ref="H309"/>
    <hyperlink r:id="rId309" ref="H310"/>
    <hyperlink r:id="rId310" ref="H311"/>
    <hyperlink r:id="rId311" ref="H312"/>
    <hyperlink r:id="rId312" ref="H313"/>
    <hyperlink r:id="rId313" ref="H314"/>
    <hyperlink r:id="rId314" ref="H315"/>
    <hyperlink r:id="rId315" ref="H316"/>
    <hyperlink r:id="rId316" ref="H317"/>
    <hyperlink r:id="rId317" ref="H318"/>
    <hyperlink r:id="rId318" ref="H319"/>
    <hyperlink r:id="rId319" ref="H320"/>
    <hyperlink r:id="rId320" ref="H321"/>
    <hyperlink r:id="rId321" ref="H322"/>
    <hyperlink r:id="rId322" ref="H323"/>
    <hyperlink r:id="rId323" ref="H324"/>
    <hyperlink r:id="rId324" ref="H325"/>
    <hyperlink r:id="rId325" ref="H326"/>
    <hyperlink r:id="rId326" ref="H327"/>
    <hyperlink r:id="rId327" ref="H328"/>
    <hyperlink r:id="rId328" ref="H329"/>
    <hyperlink r:id="rId329" ref="H330"/>
    <hyperlink r:id="rId330" ref="H331"/>
    <hyperlink r:id="rId331" ref="H332"/>
    <hyperlink r:id="rId332" ref="H333"/>
    <hyperlink r:id="rId333" ref="H334"/>
    <hyperlink r:id="rId334" ref="H335"/>
    <hyperlink r:id="rId335" ref="H336"/>
    <hyperlink r:id="rId336" ref="H337"/>
    <hyperlink r:id="rId337" ref="H338"/>
    <hyperlink r:id="rId338" ref="H339"/>
    <hyperlink r:id="rId339" ref="H340"/>
    <hyperlink r:id="rId340" ref="H341"/>
    <hyperlink r:id="rId341" ref="H342"/>
    <hyperlink r:id="rId342" ref="H343"/>
    <hyperlink r:id="rId343" ref="H344"/>
    <hyperlink r:id="rId344" ref="H345"/>
    <hyperlink r:id="rId345" ref="H346"/>
    <hyperlink r:id="rId346" ref="H347"/>
    <hyperlink r:id="rId347" ref="H348"/>
    <hyperlink r:id="rId348" ref="H349"/>
    <hyperlink r:id="rId349" ref="H350"/>
    <hyperlink r:id="rId350" ref="H351"/>
    <hyperlink r:id="rId351" ref="H352"/>
    <hyperlink r:id="rId352" ref="H353"/>
    <hyperlink r:id="rId353" ref="H354"/>
    <hyperlink r:id="rId354" ref="H355"/>
    <hyperlink r:id="rId355" ref="H356"/>
    <hyperlink r:id="rId356" ref="H357"/>
    <hyperlink r:id="rId357" ref="H358"/>
    <hyperlink r:id="rId358" ref="H359"/>
    <hyperlink r:id="rId359" ref="H360"/>
    <hyperlink r:id="rId360" ref="H361"/>
    <hyperlink r:id="rId361" ref="H362"/>
    <hyperlink r:id="rId362" ref="H363"/>
    <hyperlink r:id="rId363" ref="H364"/>
    <hyperlink r:id="rId364" ref="H365"/>
    <hyperlink r:id="rId365" ref="H366"/>
    <hyperlink r:id="rId366" ref="H367"/>
    <hyperlink r:id="rId367" ref="H368"/>
    <hyperlink r:id="rId368" ref="H369"/>
    <hyperlink r:id="rId369" ref="H370"/>
    <hyperlink r:id="rId370" ref="H371"/>
    <hyperlink r:id="rId371" ref="H372"/>
    <hyperlink r:id="rId372" ref="H373"/>
    <hyperlink r:id="rId373" ref="H374"/>
    <hyperlink r:id="rId374" ref="H375"/>
    <hyperlink r:id="rId375" ref="H376"/>
    <hyperlink r:id="rId376" ref="H377"/>
    <hyperlink r:id="rId377" ref="H378"/>
    <hyperlink r:id="rId378" ref="H379"/>
    <hyperlink r:id="rId379" ref="H380"/>
    <hyperlink r:id="rId380" ref="H381"/>
    <hyperlink r:id="rId381" ref="H382"/>
    <hyperlink r:id="rId382" ref="H383"/>
    <hyperlink r:id="rId383" ref="H384"/>
    <hyperlink r:id="rId384" ref="H385"/>
    <hyperlink r:id="rId385" ref="H386"/>
    <hyperlink r:id="rId386" ref="H387"/>
    <hyperlink r:id="rId387" ref="H388"/>
    <hyperlink r:id="rId388" ref="H389"/>
    <hyperlink r:id="rId389" ref="H390"/>
    <hyperlink r:id="rId390" ref="H391"/>
    <hyperlink r:id="rId391" ref="H392"/>
    <hyperlink r:id="rId392" ref="H393"/>
    <hyperlink r:id="rId393" ref="H394"/>
    <hyperlink r:id="rId394" ref="H395"/>
    <hyperlink r:id="rId395" ref="H396"/>
    <hyperlink r:id="rId396" ref="H397"/>
    <hyperlink r:id="rId397" ref="H398"/>
    <hyperlink r:id="rId398" ref="H399"/>
    <hyperlink r:id="rId399" ref="H400"/>
    <hyperlink r:id="rId400" ref="H401"/>
    <hyperlink r:id="rId401" ref="H402"/>
    <hyperlink r:id="rId402" ref="H403"/>
    <hyperlink r:id="rId403" ref="H404"/>
    <hyperlink r:id="rId404" ref="H405"/>
    <hyperlink r:id="rId405" ref="H406"/>
    <hyperlink r:id="rId406" ref="H407"/>
    <hyperlink r:id="rId407" ref="H408"/>
    <hyperlink r:id="rId408" ref="H409"/>
    <hyperlink r:id="rId409" ref="H410"/>
    <hyperlink r:id="rId410" ref="H411"/>
    <hyperlink r:id="rId411" ref="H412"/>
    <hyperlink r:id="rId412" ref="H413"/>
    <hyperlink r:id="rId413" ref="H414"/>
    <hyperlink r:id="rId414" ref="H415"/>
    <hyperlink r:id="rId415" ref="H416"/>
    <hyperlink r:id="rId416" ref="H417"/>
    <hyperlink r:id="rId417" ref="H418"/>
    <hyperlink r:id="rId418" ref="H419"/>
    <hyperlink r:id="rId419" ref="H420"/>
    <hyperlink r:id="rId420" ref="H421"/>
    <hyperlink r:id="rId421" ref="H422"/>
    <hyperlink r:id="rId422" ref="H423"/>
    <hyperlink r:id="rId423" ref="H424"/>
    <hyperlink r:id="rId424" ref="H425"/>
    <hyperlink r:id="rId425" ref="H426"/>
    <hyperlink r:id="rId426" ref="H427"/>
    <hyperlink r:id="rId427" ref="H428"/>
    <hyperlink r:id="rId428" ref="H429"/>
    <hyperlink r:id="rId429" ref="H430"/>
    <hyperlink r:id="rId430" ref="H431"/>
    <hyperlink r:id="rId431" ref="H432"/>
    <hyperlink r:id="rId432" ref="H433"/>
    <hyperlink r:id="rId433" ref="H434"/>
    <hyperlink r:id="rId434" ref="H435"/>
    <hyperlink r:id="rId435" ref="H436"/>
    <hyperlink r:id="rId436" ref="H437"/>
    <hyperlink r:id="rId437" ref="H438"/>
    <hyperlink r:id="rId438" ref="H439"/>
    <hyperlink r:id="rId439" ref="H440"/>
    <hyperlink r:id="rId440" ref="H441"/>
    <hyperlink r:id="rId441" ref="H442"/>
    <hyperlink r:id="rId442" ref="H443"/>
    <hyperlink r:id="rId443" ref="H444"/>
    <hyperlink r:id="rId444" ref="H445"/>
    <hyperlink r:id="rId445" ref="H446"/>
    <hyperlink r:id="rId446" ref="H447"/>
    <hyperlink r:id="rId447" ref="H448"/>
    <hyperlink r:id="rId448" ref="H449"/>
    <hyperlink r:id="rId449" ref="H450"/>
    <hyperlink r:id="rId450" ref="H451"/>
    <hyperlink r:id="rId451" ref="H452"/>
    <hyperlink r:id="rId452" ref="H453"/>
    <hyperlink r:id="rId453" ref="H454"/>
    <hyperlink r:id="rId454" ref="H455"/>
    <hyperlink r:id="rId455" ref="H456"/>
    <hyperlink r:id="rId456" ref="H457"/>
    <hyperlink r:id="rId457" ref="H458"/>
    <hyperlink r:id="rId458" ref="H459"/>
    <hyperlink r:id="rId459" ref="H460"/>
    <hyperlink r:id="rId460" ref="H461"/>
    <hyperlink r:id="rId461" ref="H462"/>
    <hyperlink r:id="rId462" ref="H463"/>
    <hyperlink r:id="rId463" ref="H464"/>
    <hyperlink r:id="rId464" ref="H465"/>
    <hyperlink r:id="rId465" ref="H466"/>
    <hyperlink r:id="rId466" ref="H467"/>
    <hyperlink r:id="rId467" location="038;masterkey=5f0f4c6e25cfb" ref="H468"/>
    <hyperlink r:id="rId468" ref="H469"/>
    <hyperlink r:id="rId469" ref="H470"/>
    <hyperlink r:id="rId470" ref="H471"/>
    <hyperlink r:id="rId471" ref="H472"/>
    <hyperlink r:id="rId472" ref="H473"/>
    <hyperlink r:id="rId473" ref="H474"/>
    <hyperlink r:id="rId474" ref="H475"/>
    <hyperlink r:id="rId475" ref="H476"/>
    <hyperlink r:id="rId476" ref="H477"/>
    <hyperlink r:id="rId477" ref="H478"/>
    <hyperlink r:id="rId478" ref="H479"/>
    <hyperlink r:id="rId479" ref="H480"/>
    <hyperlink r:id="rId480" ref="H481"/>
    <hyperlink r:id="rId481" ref="H482"/>
    <hyperlink r:id="rId482" ref="H483"/>
    <hyperlink r:id="rId483" ref="H484"/>
    <hyperlink r:id="rId484" ref="H485"/>
    <hyperlink r:id="rId485" ref="H486"/>
    <hyperlink r:id="rId486" ref="H487"/>
    <hyperlink r:id="rId487" ref="H488"/>
    <hyperlink r:id="rId488" ref="H489"/>
    <hyperlink r:id="rId489" ref="H490"/>
    <hyperlink r:id="rId490" ref="H491"/>
    <hyperlink r:id="rId491" ref="H492"/>
    <hyperlink r:id="rId492" ref="H493"/>
    <hyperlink r:id="rId493" ref="H494"/>
    <hyperlink r:id="rId494" ref="H495"/>
    <hyperlink r:id="rId495" ref="H496"/>
    <hyperlink r:id="rId496" ref="H497"/>
    <hyperlink r:id="rId497" ref="H498"/>
    <hyperlink r:id="rId498" ref="H499"/>
    <hyperlink r:id="rId499" ref="H500"/>
    <hyperlink r:id="rId500" ref="H501"/>
    <hyperlink r:id="rId501" ref="H502"/>
    <hyperlink r:id="rId502" ref="H503"/>
    <hyperlink r:id="rId503" ref="H504"/>
    <hyperlink r:id="rId504" ref="H505"/>
    <hyperlink r:id="rId505" ref="H506"/>
    <hyperlink r:id="rId506" ref="H507"/>
    <hyperlink r:id="rId507" ref="H508"/>
    <hyperlink r:id="rId508" ref="H509"/>
    <hyperlink r:id="rId509" ref="H510"/>
    <hyperlink r:id="rId510" ref="H511"/>
    <hyperlink r:id="rId511" ref="H512"/>
    <hyperlink r:id="rId512" ref="H513"/>
    <hyperlink r:id="rId513" ref="H514"/>
    <hyperlink r:id="rId514" ref="H515"/>
    <hyperlink r:id="rId515" ref="H516"/>
    <hyperlink r:id="rId516" ref="H517"/>
    <hyperlink r:id="rId517" ref="H518"/>
    <hyperlink r:id="rId518" ref="H519"/>
    <hyperlink r:id="rId519" ref="H520"/>
    <hyperlink r:id="rId520" ref="H521"/>
    <hyperlink r:id="rId521" ref="H522"/>
    <hyperlink r:id="rId522" ref="H523"/>
    <hyperlink r:id="rId523" ref="H524"/>
    <hyperlink r:id="rId524" ref="H525"/>
    <hyperlink r:id="rId525" ref="H526"/>
    <hyperlink r:id="rId526" ref="H527"/>
    <hyperlink r:id="rId527" ref="H528"/>
    <hyperlink r:id="rId528" ref="H529"/>
    <hyperlink r:id="rId529" ref="H530"/>
    <hyperlink r:id="rId530" ref="H531"/>
    <hyperlink r:id="rId531" ref="H532"/>
    <hyperlink r:id="rId532" ref="H533"/>
    <hyperlink r:id="rId533" ref="H534"/>
    <hyperlink r:id="rId534" ref="H535"/>
    <hyperlink r:id="rId535" ref="H536"/>
    <hyperlink r:id="rId536" ref="H537"/>
    <hyperlink r:id="rId537" ref="H538"/>
    <hyperlink r:id="rId538" ref="H539"/>
    <hyperlink r:id="rId539" ref="H540"/>
    <hyperlink r:id="rId540" ref="H541"/>
    <hyperlink r:id="rId541" ref="H542"/>
    <hyperlink r:id="rId542" ref="H543"/>
    <hyperlink r:id="rId543" ref="H544"/>
    <hyperlink r:id="rId544" ref="H545"/>
    <hyperlink r:id="rId545" ref="H546"/>
    <hyperlink r:id="rId546" ref="H547"/>
    <hyperlink r:id="rId547" ref="H548"/>
    <hyperlink r:id="rId548" ref="H549"/>
    <hyperlink r:id="rId549" ref="H550"/>
    <hyperlink r:id="rId550" ref="H551"/>
    <hyperlink r:id="rId551" ref="H552"/>
    <hyperlink r:id="rId552" ref="H553"/>
    <hyperlink r:id="rId553" ref="H554"/>
    <hyperlink r:id="rId554" location="038;masterkey=5e70edc14a474" ref="H555"/>
    <hyperlink r:id="rId555" ref="H556"/>
    <hyperlink r:id="rId556" ref="H557"/>
    <hyperlink r:id="rId557" ref="H558"/>
    <hyperlink r:id="rId558" ref="H559"/>
    <hyperlink r:id="rId559" ref="H560"/>
    <hyperlink r:id="rId560" ref="H561"/>
    <hyperlink r:id="rId561" ref="H562"/>
    <hyperlink r:id="rId562" ref="H563"/>
    <hyperlink r:id="rId563" ref="H564"/>
    <hyperlink r:id="rId564" ref="H565"/>
    <hyperlink r:id="rId565" ref="H566"/>
    <hyperlink r:id="rId566" ref="H567"/>
    <hyperlink r:id="rId567" ref="H568"/>
    <hyperlink r:id="rId568" ref="H569"/>
    <hyperlink r:id="rId569" ref="H570"/>
    <hyperlink r:id="rId570" ref="H571"/>
    <hyperlink r:id="rId571" ref="H572"/>
    <hyperlink r:id="rId572" ref="H573"/>
    <hyperlink r:id="rId573" ref="H574"/>
    <hyperlink r:id="rId574" ref="H575"/>
    <hyperlink r:id="rId575" ref="H576"/>
    <hyperlink r:id="rId576" ref="H577"/>
    <hyperlink r:id="rId577" ref="H578"/>
    <hyperlink r:id="rId578" ref="H579"/>
    <hyperlink r:id="rId579" ref="H580"/>
    <hyperlink r:id="rId580" ref="H581"/>
    <hyperlink r:id="rId581" ref="H582"/>
    <hyperlink r:id="rId582" ref="H583"/>
    <hyperlink r:id="rId583" ref="H584"/>
    <hyperlink r:id="rId584" ref="H585"/>
    <hyperlink r:id="rId585" location="038;masterkey=5d8274514fed6" ref="H586"/>
    <hyperlink r:id="rId586" ref="H587"/>
    <hyperlink r:id="rId587" ref="H588"/>
    <hyperlink r:id="rId588" ref="H589"/>
    <hyperlink r:id="rId589" ref="H590"/>
    <hyperlink r:id="rId590" ref="H591"/>
    <hyperlink r:id="rId591" ref="H592"/>
    <hyperlink r:id="rId592" ref="H593"/>
    <hyperlink r:id="rId593" ref="H594"/>
    <hyperlink r:id="rId594" ref="H595"/>
    <hyperlink r:id="rId595" ref="H596"/>
    <hyperlink r:id="rId596" ref="H597"/>
    <hyperlink r:id="rId597" ref="H598"/>
    <hyperlink r:id="rId598" ref="H599"/>
    <hyperlink r:id="rId599" ref="H600"/>
    <hyperlink r:id="rId600" ref="H601"/>
    <hyperlink r:id="rId601" ref="H602"/>
    <hyperlink r:id="rId602" ref="H603"/>
    <hyperlink r:id="rId603" ref="H604"/>
    <hyperlink r:id="rId604" ref="H605"/>
    <hyperlink r:id="rId605" ref="H606"/>
    <hyperlink r:id="rId606" ref="H607"/>
    <hyperlink r:id="rId607" ref="H608"/>
    <hyperlink r:id="rId608" ref="H609"/>
    <hyperlink r:id="rId609" ref="H610"/>
    <hyperlink r:id="rId610" ref="H611"/>
    <hyperlink r:id="rId611" ref="H612"/>
    <hyperlink r:id="rId612" ref="H613"/>
    <hyperlink r:id="rId613" ref="H614"/>
    <hyperlink r:id="rId614" ref="H615"/>
    <hyperlink r:id="rId615" ref="H616"/>
    <hyperlink r:id="rId616" ref="H617"/>
    <hyperlink r:id="rId617" ref="H618"/>
    <hyperlink r:id="rId618" ref="H619"/>
    <hyperlink r:id="rId619" ref="H620"/>
    <hyperlink r:id="rId620" ref="H621"/>
    <hyperlink r:id="rId621" ref="H622"/>
    <hyperlink r:id="rId622" ref="H623"/>
    <hyperlink r:id="rId623" ref="H624"/>
    <hyperlink r:id="rId624" ref="H625"/>
    <hyperlink r:id="rId625" ref="H626"/>
    <hyperlink r:id="rId626" ref="H627"/>
    <hyperlink r:id="rId627" ref="H628"/>
    <hyperlink r:id="rId628" ref="H629"/>
    <hyperlink r:id="rId629" ref="H630"/>
    <hyperlink r:id="rId630" ref="H631"/>
    <hyperlink r:id="rId631" ref="H632"/>
    <hyperlink r:id="rId632" ref="H633"/>
    <hyperlink r:id="rId633" ref="H634"/>
    <hyperlink r:id="rId634" ref="H635"/>
    <hyperlink r:id="rId635" ref="H636"/>
    <hyperlink r:id="rId636" ref="H637"/>
    <hyperlink r:id="rId637" ref="H638"/>
    <hyperlink r:id="rId638" ref="H639"/>
    <hyperlink r:id="rId639" ref="H640"/>
    <hyperlink r:id="rId640" ref="H641"/>
    <hyperlink r:id="rId641" ref="H642"/>
    <hyperlink r:id="rId642" ref="H643"/>
    <hyperlink r:id="rId643" ref="H644"/>
    <hyperlink r:id="rId644" ref="H645"/>
    <hyperlink r:id="rId645" ref="H646"/>
    <hyperlink r:id="rId646" ref="H647"/>
    <hyperlink r:id="rId647" ref="H648"/>
    <hyperlink r:id="rId648" ref="H649"/>
    <hyperlink r:id="rId649" ref="H650"/>
    <hyperlink r:id="rId650" ref="H651"/>
    <hyperlink r:id="rId651" ref="H652"/>
    <hyperlink r:id="rId652" ref="H653"/>
    <hyperlink r:id="rId653" ref="H654"/>
    <hyperlink r:id="rId654" ref="H655"/>
    <hyperlink r:id="rId655" ref="H656"/>
    <hyperlink r:id="rId656" ref="H657"/>
    <hyperlink r:id="rId657" ref="H658"/>
    <hyperlink r:id="rId658" ref="H659"/>
    <hyperlink r:id="rId659" ref="H660"/>
    <hyperlink r:id="rId660" ref="H661"/>
    <hyperlink r:id="rId661" ref="H662"/>
    <hyperlink r:id="rId662" ref="H663"/>
    <hyperlink r:id="rId663" ref="H664"/>
    <hyperlink r:id="rId664" ref="H665"/>
    <hyperlink r:id="rId665" ref="H666"/>
    <hyperlink r:id="rId666" ref="H667"/>
    <hyperlink r:id="rId667" ref="H668"/>
    <hyperlink r:id="rId668" ref="H669"/>
    <hyperlink r:id="rId669" ref="H670"/>
    <hyperlink r:id="rId670" ref="H671"/>
    <hyperlink r:id="rId671" ref="H672"/>
    <hyperlink r:id="rId672" ref="H673"/>
    <hyperlink r:id="rId673" ref="H674"/>
    <hyperlink r:id="rId674" ref="H675"/>
    <hyperlink r:id="rId675" ref="H676"/>
    <hyperlink r:id="rId676" ref="H677"/>
    <hyperlink r:id="rId677" ref="H678"/>
    <hyperlink r:id="rId678" ref="H679"/>
    <hyperlink r:id="rId679" ref="H680"/>
    <hyperlink r:id="rId680" ref="H681"/>
    <hyperlink r:id="rId681" ref="H682"/>
    <hyperlink r:id="rId682" ref="H683"/>
    <hyperlink r:id="rId683" ref="H684"/>
    <hyperlink r:id="rId684" ref="H685"/>
    <hyperlink r:id="rId685" ref="H686"/>
    <hyperlink r:id="rId686" ref="H687"/>
    <hyperlink r:id="rId687" ref="H688"/>
    <hyperlink r:id="rId688" ref="H689"/>
    <hyperlink r:id="rId689" ref="H690"/>
    <hyperlink r:id="rId690" ref="H691"/>
    <hyperlink r:id="rId691" ref="H692"/>
    <hyperlink r:id="rId692" ref="H693"/>
    <hyperlink r:id="rId693" ref="H694"/>
    <hyperlink r:id="rId694" ref="H695"/>
    <hyperlink r:id="rId695" ref="H696"/>
    <hyperlink r:id="rId696" ref="H697"/>
    <hyperlink r:id="rId697" ref="H698"/>
    <hyperlink r:id="rId698" ref="H699"/>
    <hyperlink r:id="rId699" ref="H700"/>
    <hyperlink r:id="rId700" ref="H701"/>
    <hyperlink r:id="rId701" ref="H702"/>
    <hyperlink r:id="rId702" ref="H703"/>
    <hyperlink r:id="rId703" ref="H704"/>
    <hyperlink r:id="rId704" ref="H705"/>
    <hyperlink r:id="rId705" ref="H706"/>
    <hyperlink r:id="rId706" ref="H707"/>
    <hyperlink r:id="rId707" ref="H708"/>
    <hyperlink r:id="rId708" ref="H709"/>
    <hyperlink r:id="rId709" ref="H710"/>
    <hyperlink r:id="rId710" ref="H711"/>
    <hyperlink r:id="rId711" ref="H712"/>
    <hyperlink r:id="rId712" ref="H713"/>
    <hyperlink r:id="rId713" ref="H714"/>
    <hyperlink r:id="rId714" ref="H715"/>
    <hyperlink r:id="rId715" ref="H716"/>
    <hyperlink r:id="rId716" ref="H717"/>
    <hyperlink r:id="rId717" ref="H718"/>
    <hyperlink r:id="rId718" ref="H719"/>
    <hyperlink r:id="rId719" ref="H720"/>
    <hyperlink r:id="rId720" ref="H721"/>
    <hyperlink r:id="rId721" ref="H722"/>
    <hyperlink r:id="rId722" ref="H723"/>
    <hyperlink r:id="rId723" ref="H724"/>
    <hyperlink r:id="rId724" ref="H725"/>
    <hyperlink r:id="rId725" ref="H726"/>
    <hyperlink r:id="rId726" ref="H727"/>
    <hyperlink r:id="rId727" ref="H728"/>
    <hyperlink r:id="rId728" ref="H729"/>
    <hyperlink r:id="rId729" ref="H730"/>
    <hyperlink r:id="rId730" ref="H731"/>
    <hyperlink r:id="rId731" ref="H732"/>
    <hyperlink r:id="rId732" ref="H733"/>
    <hyperlink r:id="rId733" ref="H734"/>
    <hyperlink r:id="rId734" ref="H735"/>
    <hyperlink r:id="rId735" ref="H736"/>
    <hyperlink r:id="rId736" ref="H737"/>
    <hyperlink r:id="rId737" ref="H738"/>
    <hyperlink r:id="rId738" ref="H739"/>
    <hyperlink r:id="rId739" ref="H740"/>
    <hyperlink r:id="rId740" ref="H741"/>
    <hyperlink r:id="rId741" ref="H742"/>
    <hyperlink r:id="rId742" ref="H743"/>
    <hyperlink r:id="rId743" ref="H744"/>
    <hyperlink r:id="rId744" ref="H745"/>
    <hyperlink r:id="rId745" ref="H746"/>
    <hyperlink r:id="rId746" ref="H747"/>
    <hyperlink r:id="rId747" ref="H748"/>
    <hyperlink r:id="rId748" ref="H749"/>
    <hyperlink r:id="rId749" ref="H750"/>
    <hyperlink r:id="rId750" ref="H751"/>
    <hyperlink r:id="rId751" ref="H752"/>
    <hyperlink r:id="rId752" ref="H753"/>
    <hyperlink r:id="rId753" ref="H754"/>
    <hyperlink r:id="rId754" ref="H755"/>
    <hyperlink r:id="rId755" ref="H756"/>
    <hyperlink r:id="rId756" ref="H757"/>
    <hyperlink r:id="rId757" ref="H758"/>
    <hyperlink r:id="rId758" ref="H759"/>
    <hyperlink r:id="rId759" ref="H760"/>
    <hyperlink r:id="rId760" ref="H761"/>
    <hyperlink r:id="rId761" ref="H762"/>
    <hyperlink r:id="rId762" ref="H763"/>
    <hyperlink r:id="rId763" ref="H764"/>
    <hyperlink r:id="rId764" ref="H765"/>
    <hyperlink r:id="rId765" ref="H766"/>
    <hyperlink r:id="rId766" ref="H767"/>
    <hyperlink r:id="rId767" ref="H768"/>
    <hyperlink r:id="rId768" ref="H769"/>
    <hyperlink r:id="rId769" ref="H770"/>
    <hyperlink r:id="rId770" ref="H771"/>
    <hyperlink r:id="rId771" ref="H772"/>
    <hyperlink r:id="rId772" ref="H773"/>
    <hyperlink r:id="rId773" ref="H774"/>
    <hyperlink r:id="rId774" ref="H775"/>
    <hyperlink r:id="rId775" ref="H776"/>
    <hyperlink r:id="rId776" ref="H777"/>
    <hyperlink r:id="rId777" ref="H778"/>
    <hyperlink r:id="rId778" ref="H779"/>
    <hyperlink r:id="rId779" ref="H780"/>
    <hyperlink r:id="rId780" ref="H781"/>
    <hyperlink r:id="rId781" ref="H782"/>
    <hyperlink r:id="rId782" ref="H783"/>
    <hyperlink r:id="rId783" ref="H784"/>
    <hyperlink r:id="rId784" ref="H785"/>
    <hyperlink r:id="rId785" ref="H786"/>
    <hyperlink r:id="rId786" ref="H787"/>
    <hyperlink r:id="rId787" ref="H788"/>
    <hyperlink r:id="rId788" ref="H789"/>
    <hyperlink r:id="rId789" ref="H790"/>
    <hyperlink r:id="rId790" ref="H791"/>
    <hyperlink r:id="rId791" ref="H792"/>
    <hyperlink r:id="rId792" ref="H793"/>
    <hyperlink r:id="rId793" ref="H794"/>
    <hyperlink r:id="rId794" ref="H795"/>
    <hyperlink r:id="rId795" ref="H796"/>
    <hyperlink r:id="rId796" ref="H797"/>
    <hyperlink r:id="rId797" ref="H798"/>
    <hyperlink r:id="rId798" ref="H799"/>
    <hyperlink r:id="rId799" ref="H800"/>
    <hyperlink r:id="rId800" ref="H801"/>
    <hyperlink r:id="rId801" ref="H802"/>
    <hyperlink r:id="rId802" ref="H803"/>
    <hyperlink r:id="rId803" ref="H804"/>
    <hyperlink r:id="rId804" ref="H805"/>
    <hyperlink r:id="rId805" ref="H806"/>
    <hyperlink r:id="rId806" ref="H807"/>
    <hyperlink r:id="rId807" ref="H808"/>
    <hyperlink r:id="rId808" ref="H809"/>
    <hyperlink r:id="rId809" ref="H810"/>
    <hyperlink r:id="rId810" ref="H811"/>
    <hyperlink r:id="rId811" ref="H812"/>
    <hyperlink r:id="rId812" ref="H813"/>
    <hyperlink r:id="rId813" ref="H814"/>
    <hyperlink r:id="rId814" ref="H815"/>
    <hyperlink r:id="rId815" ref="H816"/>
    <hyperlink r:id="rId816" ref="H817"/>
    <hyperlink r:id="rId817" ref="H818"/>
    <hyperlink r:id="rId818" ref="H819"/>
    <hyperlink r:id="rId819" location="038;masterkey=5ddec4ab57fa0" ref="H820"/>
    <hyperlink r:id="rId820" ref="H821"/>
    <hyperlink r:id="rId821" ref="H822"/>
    <hyperlink r:id="rId822" ref="H823"/>
    <hyperlink r:id="rId823" ref="H824"/>
    <hyperlink r:id="rId824" ref="H825"/>
    <hyperlink r:id="rId825" ref="H826"/>
    <hyperlink r:id="rId826" ref="H827"/>
    <hyperlink r:id="rId827" ref="H828"/>
    <hyperlink r:id="rId828" ref="H829"/>
    <hyperlink r:id="rId829" ref="H830"/>
    <hyperlink r:id="rId830" ref="H831"/>
    <hyperlink r:id="rId831" ref="H832"/>
    <hyperlink r:id="rId832" ref="H833"/>
    <hyperlink r:id="rId833" ref="H834"/>
    <hyperlink r:id="rId834" ref="H835"/>
    <hyperlink r:id="rId835" ref="H836"/>
    <hyperlink r:id="rId836" ref="H837"/>
    <hyperlink r:id="rId837" ref="H838"/>
    <hyperlink r:id="rId838" ref="H839"/>
    <hyperlink r:id="rId839" ref="H840"/>
    <hyperlink r:id="rId840" ref="H841"/>
    <hyperlink r:id="rId841" ref="H842"/>
    <hyperlink r:id="rId842" ref="H843"/>
    <hyperlink r:id="rId843" ref="H844"/>
    <hyperlink r:id="rId844" ref="H845"/>
    <hyperlink r:id="rId845" ref="H846"/>
    <hyperlink r:id="rId846" ref="H847"/>
    <hyperlink r:id="rId847" ref="H848"/>
    <hyperlink r:id="rId848" ref="H849"/>
    <hyperlink r:id="rId849" ref="H850"/>
    <hyperlink r:id="rId850" ref="H851"/>
    <hyperlink r:id="rId851" ref="H852"/>
    <hyperlink r:id="rId852" ref="H853"/>
    <hyperlink r:id="rId853" ref="H854"/>
    <hyperlink r:id="rId854" ref="H855"/>
    <hyperlink r:id="rId855" ref="H856"/>
    <hyperlink r:id="rId856" ref="H857"/>
    <hyperlink r:id="rId857" ref="H858"/>
    <hyperlink r:id="rId858" ref="H859"/>
    <hyperlink r:id="rId859" ref="H860"/>
    <hyperlink r:id="rId860" ref="H861"/>
    <hyperlink r:id="rId861" ref="H862"/>
    <hyperlink r:id="rId862" ref="H863"/>
    <hyperlink r:id="rId863" ref="H864"/>
    <hyperlink r:id="rId864" ref="H865"/>
    <hyperlink r:id="rId865" ref="H866"/>
    <hyperlink r:id="rId866" ref="H867"/>
    <hyperlink r:id="rId867" ref="H868"/>
    <hyperlink r:id="rId868" ref="H869"/>
    <hyperlink r:id="rId869" ref="H870"/>
    <hyperlink r:id="rId870" ref="H871"/>
    <hyperlink r:id="rId871" ref="H872"/>
    <hyperlink r:id="rId872" ref="H873"/>
    <hyperlink r:id="rId873" ref="H874"/>
    <hyperlink r:id="rId874" ref="H875"/>
    <hyperlink r:id="rId875" ref="H876"/>
    <hyperlink r:id="rId876" ref="H877"/>
    <hyperlink r:id="rId877" ref="H878"/>
    <hyperlink r:id="rId878" location="038;masterkey=5d714f48380bf" ref="H879"/>
    <hyperlink r:id="rId879" ref="H880"/>
    <hyperlink r:id="rId880" ref="H881"/>
    <hyperlink r:id="rId881" ref="H882"/>
    <hyperlink r:id="rId882" ref="H883"/>
    <hyperlink r:id="rId883" ref="H884"/>
    <hyperlink r:id="rId884" location="038;masterkey=5dee4652c7c23" ref="H885"/>
    <hyperlink r:id="rId885" ref="H886"/>
    <hyperlink r:id="rId886" ref="H887"/>
    <hyperlink r:id="rId887" ref="H888"/>
    <hyperlink r:id="rId888" ref="H889"/>
    <hyperlink r:id="rId889" ref="H890"/>
    <hyperlink r:id="rId890" ref="H891"/>
    <hyperlink r:id="rId891" ref="H892"/>
    <hyperlink r:id="rId892" ref="H893"/>
    <hyperlink r:id="rId893" ref="H894"/>
    <hyperlink r:id="rId894" ref="H895"/>
    <hyperlink r:id="rId895" ref="H896"/>
    <hyperlink r:id="rId896" ref="H897"/>
    <hyperlink r:id="rId897" ref="H898"/>
    <hyperlink r:id="rId898" ref="H899"/>
    <hyperlink r:id="rId899" ref="H900"/>
    <hyperlink r:id="rId900" ref="H901"/>
    <hyperlink r:id="rId901" ref="H902"/>
    <hyperlink r:id="rId902" ref="H903"/>
    <hyperlink r:id="rId903" ref="H904"/>
    <hyperlink r:id="rId904" ref="H905"/>
    <hyperlink r:id="rId905" ref="H906"/>
    <hyperlink r:id="rId906" ref="H907"/>
    <hyperlink r:id="rId907" ref="H908"/>
    <hyperlink r:id="rId908" ref="H909"/>
  </hyperlinks>
  <drawing r:id="rId909"/>
  <tableParts count="1">
    <tablePart r:id="rId911"/>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6.43"/>
    <col customWidth="1" min="2" max="2" width="30.86"/>
    <col customWidth="1" min="3" max="3" width="13.86"/>
    <col customWidth="1" min="4" max="4" width="12.43"/>
    <col customWidth="1" min="5" max="5" width="7.57"/>
    <col customWidth="1" min="6" max="6" width="32.86"/>
    <col customWidth="1" min="7" max="7" width="14.71"/>
    <col customWidth="1" min="8" max="8" width="28.14"/>
    <col customWidth="1" hidden="1" min="9" max="9" width="24.0"/>
  </cols>
  <sheetData>
    <row r="1">
      <c r="A1" s="19" t="s">
        <v>23</v>
      </c>
      <c r="B1" s="20" t="s">
        <v>24</v>
      </c>
      <c r="C1" s="20" t="s">
        <v>25</v>
      </c>
      <c r="D1" s="20" t="s">
        <v>26</v>
      </c>
      <c r="E1" s="21" t="s">
        <v>27</v>
      </c>
      <c r="F1" s="20" t="s">
        <v>28</v>
      </c>
      <c r="G1" s="20" t="s">
        <v>29</v>
      </c>
      <c r="H1" s="23" t="s">
        <v>30</v>
      </c>
      <c r="I1" s="20" t="s">
        <v>31</v>
      </c>
    </row>
    <row r="2">
      <c r="A2" s="24" t="str">
        <f>IFERROR(__xludf.DUMMYFUNCTION("IMPORTRANGE(""https://docs.google.com/spreadsheets/d/13YtZlkEQw4W38VCdbK3PbAk4uf6r7LAkUEaRwo0J7Jo/edit#gid=291977917"",""PlanilhaUnificada!B1344:J1835"")"),"(Re)pensar o direito a partir das novas tecnologias e da complexidade social")</f>
        <v>(Re)pensar o direito a partir das novas tecnologias e da complexidade social</v>
      </c>
      <c r="B2" s="24" t="str">
        <f>IFERROR(__xludf.DUMMYFUNCTION("""COMPUTED_VALUE"""),"Vinicius Almada Mozetic, Paulo Junior Trindade dos Santos e Gabriela Samrsla Moller")</f>
        <v>Vinicius Almada Mozetic, Paulo Junior Trindade dos Santos e Gabriela Samrsla Moller</v>
      </c>
      <c r="C2" s="24" t="str">
        <f>IFERROR(__xludf.DUMMYFUNCTION("""COMPUTED_VALUE"""),"Joaçaba")</f>
        <v>Joaçaba</v>
      </c>
      <c r="D2" s="24" t="str">
        <f>IFERROR(__xludf.DUMMYFUNCTION("""COMPUTED_VALUE"""),"Unoesc")</f>
        <v>Unoesc</v>
      </c>
      <c r="E2" s="25">
        <f>IFERROR(__xludf.DUMMYFUNCTION("""COMPUTED_VALUE"""),2018.0)</f>
        <v>2018</v>
      </c>
      <c r="F2" s="24" t="str">
        <f>IFERROR(__xludf.DUMMYFUNCTION("""COMPUTED_VALUE"""),"Direitos fundamentais, Tecnologia e direito")</f>
        <v>Direitos fundamentais, Tecnologia e direito</v>
      </c>
      <c r="G2" s="28" t="str">
        <f>IFERROR(__xludf.DUMMYFUNCTION("""COMPUTED_VALUE"""),"9788584221790")</f>
        <v>9788584221790</v>
      </c>
      <c r="H2" s="27" t="str">
        <f>IFERROR(__xludf.DUMMYFUNCTION("""COMPUTED_VALUE"""),"https://www.unoesc.edu.br/images/uploads/editora/Miolo_repensar_Vinicius.pdf")</f>
        <v>https://www.unoesc.edu.br/images/uploads/editora/Miolo_repensar_Vinicius.pdf</v>
      </c>
      <c r="I2" s="24" t="str">
        <f>IFERROR(__xludf.DUMMYFUNCTION("""COMPUTED_VALUE"""),"Ciências Sociais Aplicadas")</f>
        <v>Ciências Sociais Aplicadas</v>
      </c>
    </row>
    <row r="3">
      <c r="A3" s="24" t="str">
        <f>IFERROR(__xludf.DUMMYFUNCTION("""COMPUTED_VALUE"""),"13° Encontro sobre o poder escolar")</f>
        <v>13° Encontro sobre o poder escolar</v>
      </c>
      <c r="B3" s="24" t="str">
        <f>IFERROR(__xludf.DUMMYFUNCTION("""COMPUTED_VALUE"""),"Carlos, Lígia Cardoso; Pereira, Dirlei de Azambuja")</f>
        <v>Carlos, Lígia Cardoso; Pereira, Dirlei de Azambuja</v>
      </c>
      <c r="C3" s="24" t="str">
        <f>IFERROR(__xludf.DUMMYFUNCTION("""COMPUTED_VALUE"""),"Pelotas")</f>
        <v>Pelotas</v>
      </c>
      <c r="D3" s="24" t="str">
        <f>IFERROR(__xludf.DUMMYFUNCTION("""COMPUTED_VALUE"""),"UFPel")</f>
        <v>UFPel</v>
      </c>
      <c r="E3" s="25">
        <f>IFERROR(__xludf.DUMMYFUNCTION("""COMPUTED_VALUE"""),2018.0)</f>
        <v>2018</v>
      </c>
      <c r="F3" s="24" t="str">
        <f>IFERROR(__xludf.DUMMYFUNCTION("""COMPUTED_VALUE"""),"Educação; Democracia; Formação de professores; Poder escola")</f>
        <v>Educação; Democracia; Formação de professores; Poder escola</v>
      </c>
      <c r="G3" s="28" t="str">
        <f>IFERROR(__xludf.DUMMYFUNCTION("""COMPUTED_VALUE"""),"9788551700273")</f>
        <v>9788551700273</v>
      </c>
      <c r="H3" s="27" t="str">
        <f>IFERROR(__xludf.DUMMYFUNCTION("""COMPUTED_VALUE"""),"http://guaiaca.ufpel.edu.br:8080/bitstream/prefix/4558/1/13%C2%BA%20Encontro%20Sobre%20o%20Poder%20Escolar.pdf")</f>
        <v>http://guaiaca.ufpel.edu.br:8080/bitstream/prefix/4558/1/13%C2%BA%20Encontro%20Sobre%20o%20Poder%20Escolar.pdf</v>
      </c>
      <c r="I3" s="24" t="str">
        <f>IFERROR(__xludf.DUMMYFUNCTION("""COMPUTED_VALUE"""),"Ciências Sociais Aplicadas")</f>
        <v>Ciências Sociais Aplicadas</v>
      </c>
    </row>
    <row r="4">
      <c r="A4" s="24" t="str">
        <f>IFERROR(__xludf.DUMMYFUNCTION("""COMPUTED_VALUE"""),"70 anos da Gráfica da UFRGS")</f>
        <v>70 anos da Gráfica da UFRGS</v>
      </c>
      <c r="B4" s="24" t="str">
        <f>IFERROR(__xludf.DUMMYFUNCTION("""COMPUTED_VALUE"""),"Aragão, Thaís Amorim; Kanaan, Helena Araujo Rodrigues; Bandeira, Michele ")</f>
        <v>Aragão, Thaís Amorim; Kanaan, Helena Araujo Rodrigues; Bandeira, Michele </v>
      </c>
      <c r="C4" s="24" t="str">
        <f>IFERROR(__xludf.DUMMYFUNCTION("""COMPUTED_VALUE"""),"Porto Alegre")</f>
        <v>Porto Alegre</v>
      </c>
      <c r="D4" s="24" t="str">
        <f>IFERROR(__xludf.DUMMYFUNCTION("""COMPUTED_VALUE"""),"UFRGS")</f>
        <v>UFRGS</v>
      </c>
      <c r="E4" s="25">
        <f>IFERROR(__xludf.DUMMYFUNCTION("""COMPUTED_VALUE"""),2018.0)</f>
        <v>2018</v>
      </c>
      <c r="F4" s="24" t="str">
        <f>IFERROR(__xludf.DUMMYFUNCTION("""COMPUTED_VALUE"""),"Tipografia; Universidade Federal do Rio Grande do Sul. Gráfica")</f>
        <v>Tipografia; Universidade Federal do Rio Grande do Sul. Gráfica</v>
      </c>
      <c r="G4" s="28" t="str">
        <f>IFERROR(__xludf.DUMMYFUNCTION("""COMPUTED_VALUE"""),"9788538605041")</f>
        <v>9788538605041</v>
      </c>
      <c r="H4" s="27" t="str">
        <f>IFERROR(__xludf.DUMMYFUNCTION("""COMPUTED_VALUE"""),"http://hdl.handle.net/10183/202498")</f>
        <v>http://hdl.handle.net/10183/202498</v>
      </c>
      <c r="I4" s="24" t="str">
        <f>IFERROR(__xludf.DUMMYFUNCTION("""COMPUTED_VALUE"""),"Ciências Sociais Aplicadas")</f>
        <v>Ciências Sociais Aplicadas</v>
      </c>
    </row>
    <row r="5">
      <c r="A5" s="24" t="str">
        <f>IFERROR(__xludf.DUMMYFUNCTION("""COMPUTED_VALUE"""),"70 anos de Radiojornalismo no Brasil")</f>
        <v>70 anos de Radiojornalismo no Brasil</v>
      </c>
      <c r="B5" s="24" t="str">
        <f>IFERROR(__xludf.DUMMYFUNCTION("""COMPUTED_VALUE"""),"Sonia Virgínia Moreira (Org.)")</f>
        <v>Sonia Virgínia Moreira (Org.)</v>
      </c>
      <c r="C5" s="24" t="str">
        <f>IFERROR(__xludf.DUMMYFUNCTION("""COMPUTED_VALUE"""),"Rio de Janeiro")</f>
        <v>Rio de Janeiro</v>
      </c>
      <c r="D5" s="24" t="str">
        <f>IFERROR(__xludf.DUMMYFUNCTION("""COMPUTED_VALUE"""),"EdUERJ")</f>
        <v>EdUERJ</v>
      </c>
      <c r="E5" s="25">
        <f>IFERROR(__xludf.DUMMYFUNCTION("""COMPUTED_VALUE"""),2011.0)</f>
        <v>2011</v>
      </c>
      <c r="F5" s="24" t="str">
        <f>IFERROR(__xludf.DUMMYFUNCTION("""COMPUTED_VALUE"""),"Radiojornalismo; Rádio; História do rádio ")</f>
        <v>Radiojornalismo; Rádio; História do rádio </v>
      </c>
      <c r="G5" s="28" t="str">
        <f>IFERROR(__xludf.DUMMYFUNCTION("""COMPUTED_VALUE"""),"9788575111970")</f>
        <v>9788575111970</v>
      </c>
      <c r="H5" s="29" t="str">
        <f>IFERROR(__xludf.DUMMYFUNCTION("""COMPUTED_VALUE"""),"https://www.eduerj.com/eng/?product=70-anos-de-radiojornalismo-no-brasil")</f>
        <v>https://www.eduerj.com/eng/?product=70-anos-de-radiojornalismo-no-brasil</v>
      </c>
      <c r="I5" s="24" t="str">
        <f>IFERROR(__xludf.DUMMYFUNCTION("""COMPUTED_VALUE"""),"Ciências Sociais Aplicadas")</f>
        <v>Ciências Sociais Aplicadas</v>
      </c>
    </row>
    <row r="6">
      <c r="A6" s="24" t="str">
        <f>IFERROR(__xludf.DUMMYFUNCTION("""COMPUTED_VALUE"""),"90 anos de rádio no Brasil")</f>
        <v>90 anos de rádio no Brasil</v>
      </c>
      <c r="B6" s="24" t="str">
        <f>IFERROR(__xludf.DUMMYFUNCTION("""COMPUTED_VALUE"""),"Newton Dângelo, Sandra Sueli Garcia de Sousa")</f>
        <v>Newton Dângelo, Sandra Sueli Garcia de Sousa</v>
      </c>
      <c r="C6" s="24" t="str">
        <f>IFERROR(__xludf.DUMMYFUNCTION("""COMPUTED_VALUE"""),"Uberlândia")</f>
        <v>Uberlândia</v>
      </c>
      <c r="D6" s="24" t="str">
        <f>IFERROR(__xludf.DUMMYFUNCTION("""COMPUTED_VALUE"""),"EDUFU")</f>
        <v>EDUFU</v>
      </c>
      <c r="E6" s="25">
        <f>IFERROR(__xludf.DUMMYFUNCTION("""COMPUTED_VALUE"""),2016.0)</f>
        <v>2016</v>
      </c>
      <c r="F6" s="24" t="str">
        <f>IFERROR(__xludf.DUMMYFUNCTION("""COMPUTED_VALUE"""),"Rádio - Brasil - História; Comunicação 3 .Rádio - Produção e direção. 4 . Rádio Comunitária; Radiojornalismo I Dângelo, Newton II Sousa, Sandra Sueli Garcia de. II Título")</f>
        <v>Rádio - Brasil - História; Comunicação 3 .Rádio - Produção e direção. 4 . Rádio Comunitária; Radiojornalismo I Dângelo, Newton II Sousa, Sandra Sueli Garcia de. II Título</v>
      </c>
      <c r="G6" s="28" t="str">
        <f>IFERROR(__xludf.DUMMYFUNCTION("""COMPUTED_VALUE"""),"9788570784476")</f>
        <v>9788570784476</v>
      </c>
      <c r="H6" s="27" t="str">
        <f>IFERROR(__xludf.DUMMYFUNCTION("""COMPUTED_VALUE"""),"http://www.edufu.ufu.br/sites/edufu.ufu.br/files/e-book_90_anos_de_radio_2016_0.pdf")</f>
        <v>http://www.edufu.ufu.br/sites/edufu.ufu.br/files/e-book_90_anos_de_radio_2016_0.pdf</v>
      </c>
      <c r="I6" s="24" t="str">
        <f>IFERROR(__xludf.DUMMYFUNCTION("""COMPUTED_VALUE"""),"Ciências Sociais Aplicadas")</f>
        <v>Ciências Sociais Aplicadas</v>
      </c>
    </row>
    <row r="7">
      <c r="A7" s="24" t="str">
        <f>IFERROR(__xludf.DUMMYFUNCTION("""COMPUTED_VALUE"""),"A (in) efetividade dos direitos fundamentais sociais no estado democrático de direito: os benefícios assegurados pelos acordos previdenciários no âmbito do Mercosul")</f>
        <v>A (in) efetividade dos direitos fundamentais sociais no estado democrático de direito: os benefícios assegurados pelos acordos previdenciários no âmbito do Mercosul</v>
      </c>
      <c r="B7" s="24" t="str">
        <f>IFERROR(__xludf.DUMMYFUNCTION("""COMPUTED_VALUE"""),"Rosane Todescatt Nottar")</f>
        <v>Rosane Todescatt Nottar</v>
      </c>
      <c r="C7" s="24" t="str">
        <f>IFERROR(__xludf.DUMMYFUNCTION("""COMPUTED_VALUE"""),"Joaçaba")</f>
        <v>Joaçaba</v>
      </c>
      <c r="D7" s="24" t="str">
        <f>IFERROR(__xludf.DUMMYFUNCTION("""COMPUTED_VALUE"""),"Unoesc")</f>
        <v>Unoesc</v>
      </c>
      <c r="E7" s="25">
        <f>IFERROR(__xludf.DUMMYFUNCTION("""COMPUTED_VALUE"""),2017.0)</f>
        <v>2017</v>
      </c>
      <c r="F7" s="24" t="str">
        <f>IFERROR(__xludf.DUMMYFUNCTION("""COMPUTED_VALUE"""),"Direitos fundamentais, Estado democrático de; direito, Seguridade social")</f>
        <v>Direitos fundamentais, Estado democrático de; direito, Seguridade social</v>
      </c>
      <c r="G7" s="28" t="str">
        <f>IFERROR(__xludf.DUMMYFUNCTION("""COMPUTED_VALUE"""),"9788584221073")</f>
        <v>9788584221073</v>
      </c>
      <c r="H7" s="27" t="str">
        <f>IFERROR(__xludf.DUMMYFUNCTION("""COMPUTED_VALUE"""),"https://www.unoesc.edu.br/images/uploads/editora/A_(in)_efetividade_dos_direitos_fundamentais_sociais.pdf")</f>
        <v>https://www.unoesc.edu.br/images/uploads/editora/A_(in)_efetividade_dos_direitos_fundamentais_sociais.pdf</v>
      </c>
      <c r="I7" s="24" t="str">
        <f>IFERROR(__xludf.DUMMYFUNCTION("""COMPUTED_VALUE"""),"Ciências Sociais Aplicadas")</f>
        <v>Ciências Sociais Aplicadas</v>
      </c>
    </row>
    <row r="8">
      <c r="A8" s="24" t="str">
        <f>IFERROR(__xludf.DUMMYFUNCTION("""COMPUTED_VALUE"""),"A aprendizagem para a sustentabilidade na trajetória de vida")</f>
        <v>A aprendizagem para a sustentabilidade na trajetória de vida</v>
      </c>
      <c r="B8" s="24" t="str">
        <f>IFERROR(__xludf.DUMMYFUNCTION("""COMPUTED_VALUE"""),"Eliane Salete Filippim et al.")</f>
        <v>Eliane Salete Filippim et al.</v>
      </c>
      <c r="C8" s="24" t="str">
        <f>IFERROR(__xludf.DUMMYFUNCTION("""COMPUTED_VALUE"""),"Joaçaba")</f>
        <v>Joaçaba</v>
      </c>
      <c r="D8" s="24" t="str">
        <f>IFERROR(__xludf.DUMMYFUNCTION("""COMPUTED_VALUE"""),"Unoesc")</f>
        <v>Unoesc</v>
      </c>
      <c r="E8" s="25">
        <f>IFERROR(__xludf.DUMMYFUNCTION("""COMPUTED_VALUE"""),2017.0)</f>
        <v>2017</v>
      </c>
      <c r="F8" s="24" t="str">
        <f>IFERROR(__xludf.DUMMYFUNCTION("""COMPUTED_VALUE"""),"Administração de empresas - Sustentabilidade, Educação ambiental, Proteção ambiental")</f>
        <v>Administração de empresas - Sustentabilidade, Educação ambiental, Proteção ambiental</v>
      </c>
      <c r="G8" s="28" t="str">
        <f>IFERROR(__xludf.DUMMYFUNCTION("""COMPUTED_VALUE"""),"9788584221196")</f>
        <v>9788584221196</v>
      </c>
      <c r="H8" s="29" t="str">
        <f>IFERROR(__xludf.DUMMYFUNCTION("""COMPUTED_VALUE"""),"https://www.unoesc.edu.br/images/uploads/editora/A_aprendizagem_para_a_sustentabilidade1.pdf")</f>
        <v>https://www.unoesc.edu.br/images/uploads/editora/A_aprendizagem_para_a_sustentabilidade1.pdf</v>
      </c>
      <c r="I8" s="24" t="str">
        <f>IFERROR(__xludf.DUMMYFUNCTION("""COMPUTED_VALUE"""),"Ciências Sociais Aplicadas")</f>
        <v>Ciências Sociais Aplicadas</v>
      </c>
    </row>
    <row r="9" ht="66.75" customHeight="1">
      <c r="A9" s="24" t="str">
        <f>IFERROR(__xludf.DUMMYFUNCTION("""COMPUTED_VALUE"""),"A aproximação dos grupos de pesquisa na universidade*")</f>
        <v>A aproximação dos grupos de pesquisa na universidade*</v>
      </c>
      <c r="B9" s="24" t="str">
        <f>IFERROR(__xludf.DUMMYFUNCTION("""COMPUTED_VALUE"""),"Alessandro Stumpf")</f>
        <v>Alessandro Stumpf</v>
      </c>
      <c r="C9" s="24" t="str">
        <f>IFERROR(__xludf.DUMMYFUNCTION("""COMPUTED_VALUE"""),"Chapecó")</f>
        <v>Chapecó</v>
      </c>
      <c r="D9" s="24" t="str">
        <f>IFERROR(__xludf.DUMMYFUNCTION("""COMPUTED_VALUE"""),"Argos")</f>
        <v>Argos</v>
      </c>
      <c r="E9" s="25">
        <f>IFERROR(__xludf.DUMMYFUNCTION("""COMPUTED_VALUE"""),2019.0)</f>
        <v>2019</v>
      </c>
      <c r="F9" s="24" t="str">
        <f>IFERROR(__xludf.DUMMYFUNCTION("""COMPUTED_VALUE"""),"Extensão universitária. Ensino superior - Pesquisa")</f>
        <v>Extensão universitária. Ensino superior - Pesquisa</v>
      </c>
      <c r="G9" s="28" t="str">
        <f>IFERROR(__xludf.DUMMYFUNCTION("""COMPUTED_VALUE"""),"9788578973179")</f>
        <v>9788578973179</v>
      </c>
      <c r="H9" s="29" t="str">
        <f>IFERROR(__xludf.DUMMYFUNCTION("""COMPUTED_VALUE"""),"https://www.editoraargos.com.br/farol/editoraargos/ebook/a-aproximacao-dos-grupos-de-pesquisa-na-universidade/1193752/")</f>
        <v>https://www.editoraargos.com.br/farol/editoraargos/ebook/a-aproximacao-dos-grupos-de-pesquisa-na-universidade/1193752/</v>
      </c>
      <c r="I9" s="24" t="str">
        <f>IFERROR(__xludf.DUMMYFUNCTION("""COMPUTED_VALUE"""),"Ciências Sociais Aplicadas")</f>
        <v>Ciências Sociais Aplicadas</v>
      </c>
    </row>
    <row r="10">
      <c r="A10" s="24" t="str">
        <f>IFERROR(__xludf.DUMMYFUNCTION("""COMPUTED_VALUE"""),"A Carta da Democracia: a construção da ordem de 1988.")</f>
        <v>A Carta da Democracia: a construção da ordem de 1988.</v>
      </c>
      <c r="B10" s="24" t="str">
        <f>IFERROR(__xludf.DUMMYFUNCTION("""COMPUTED_VALUE"""),"JULIO AURELIO VIANNA LOPES")</f>
        <v>JULIO AURELIO VIANNA LOPES</v>
      </c>
      <c r="C10" s="24" t="str">
        <f>IFERROR(__xludf.DUMMYFUNCTION("""COMPUTED_VALUE"""),"Rio de Janeiro")</f>
        <v>Rio de Janeiro</v>
      </c>
      <c r="D10" s="24" t="str">
        <f>IFERROR(__xludf.DUMMYFUNCTION("""COMPUTED_VALUE"""),"Fundação Casa de Rui Barbosa")</f>
        <v>Fundação Casa de Rui Barbosa</v>
      </c>
      <c r="E10" s="25">
        <f>IFERROR(__xludf.DUMMYFUNCTION("""COMPUTED_VALUE"""),2018.0)</f>
        <v>2018</v>
      </c>
      <c r="F10" s="24" t="str">
        <f>IFERROR(__xludf.DUMMYFUNCTION("""COMPUTED_VALUE"""),"Brasil. Assembléia Nacional Constituinte (1987-1988). Assembléias constituintes - Brasil. História constitucional -Brasil. Brasil - Política e governo")</f>
        <v>Brasil. Assembléia Nacional Constituinte (1987-1988). Assembléias constituintes - Brasil. História constitucional -Brasil. Brasil - Política e governo</v>
      </c>
      <c r="G10" s="28" t="str">
        <f>IFERROR(__xludf.DUMMYFUNCTION("""COMPUTED_VALUE"""),"9788545502807")</f>
        <v>9788545502807</v>
      </c>
      <c r="H10" s="29" t="str">
        <f>IFERROR(__xludf.DUMMYFUNCTION("""COMPUTED_VALUE"""),"http://www.casaruibarbosa.gov.br/arquivos/file/A-carta-da-democracia%20PDF.pdf")</f>
        <v>http://www.casaruibarbosa.gov.br/arquivos/file/A-carta-da-democracia%20PDF.pdf</v>
      </c>
      <c r="I10" s="24" t="str">
        <f>IFERROR(__xludf.DUMMYFUNCTION("""COMPUTED_VALUE"""),"Ciências Sociais Aplicadas")</f>
        <v>Ciências Sociais Aplicadas</v>
      </c>
    </row>
    <row r="11">
      <c r="A11" s="24" t="str">
        <f>IFERROR(__xludf.DUMMYFUNCTION("""COMPUTED_VALUE"""),"A cidade em equilibrio: contribuições teóricas ao 3. Fórum Mundial da Bicicleta")</f>
        <v>A cidade em equilibrio: contribuições teóricas ao 3. Fórum Mundial da Bicicleta</v>
      </c>
      <c r="B11" s="24" t="str">
        <f>IFERROR(__xludf.DUMMYFUNCTION("""COMPUTED_VALUE"""),"Belotto, José Carlos Assunção; Nakamori, Silvana; Nataraj Goura; Patrício, Luis Claudio Brito; Caldas, Guilherme; Maleski, Fernanda, UFPR, Pró-Reitoria de Extensão e Cultura (PROEC).")</f>
        <v>Belotto, José Carlos Assunção; Nakamori, Silvana; Nataraj Goura; Patrício, Luis Claudio Brito; Caldas, Guilherme; Maleski, Fernanda, UFPR, Pró-Reitoria de Extensão e Cultura (PROEC).</v>
      </c>
      <c r="C11" s="24" t="str">
        <f>IFERROR(__xludf.DUMMYFUNCTION("""COMPUTED_VALUE"""),"Curitiba")</f>
        <v>Curitiba</v>
      </c>
      <c r="D11" s="24" t="str">
        <f>IFERROR(__xludf.DUMMYFUNCTION("""COMPUTED_VALUE"""),"UFPR")</f>
        <v>UFPR</v>
      </c>
      <c r="E11" s="25">
        <f>IFERROR(__xludf.DUMMYFUNCTION("""COMPUTED_VALUE"""),2014.0)</f>
        <v>2014</v>
      </c>
      <c r="F11" s="24" t="str">
        <f>IFERROR(__xludf.DUMMYFUNCTION("""COMPUTED_VALUE"""),"Bicicletas - Politica urbana; Planejamento urbano; Desenvolvimento sustentável")</f>
        <v>Bicicletas - Politica urbana; Planejamento urbano; Desenvolvimento sustentável</v>
      </c>
      <c r="G11" s="28" t="str">
        <f>IFERROR(__xludf.DUMMYFUNCTION("""COMPUTED_VALUE"""),"97885889154")</f>
        <v>97885889154</v>
      </c>
      <c r="H11" s="29" t="str">
        <f>IFERROR(__xludf.DUMMYFUNCTION("""COMPUTED_VALUE"""),"http://hdl.handle.net/1884/45033")</f>
        <v>http://hdl.handle.net/1884/45033</v>
      </c>
      <c r="I11" s="24" t="str">
        <f>IFERROR(__xludf.DUMMYFUNCTION("""COMPUTED_VALUE"""),"Ciências Sociais Aplicadas")</f>
        <v>Ciências Sociais Aplicadas</v>
      </c>
    </row>
    <row r="12">
      <c r="A12" s="24" t="str">
        <f>IFERROR(__xludf.DUMMYFUNCTION("""COMPUTED_VALUE"""),"A coerência do método bifásico de fixação da reparabilidade por ofensa ao direito à honra")</f>
        <v>A coerência do método bifásico de fixação da reparabilidade por ofensa ao direito à honra</v>
      </c>
      <c r="B12" s="24" t="str">
        <f>IFERROR(__xludf.DUMMYFUNCTION("""COMPUTED_VALUE"""),"Anderson Rodrigo Gusberti")</f>
        <v>Anderson Rodrigo Gusberti</v>
      </c>
      <c r="C12" s="24" t="str">
        <f>IFERROR(__xludf.DUMMYFUNCTION("""COMPUTED_VALUE"""),"Joaçaba")</f>
        <v>Joaçaba</v>
      </c>
      <c r="D12" s="24" t="str">
        <f>IFERROR(__xludf.DUMMYFUNCTION("""COMPUTED_VALUE"""),"Unoesc")</f>
        <v>Unoesc</v>
      </c>
      <c r="E12" s="25">
        <f>IFERROR(__xludf.DUMMYFUNCTION("""COMPUTED_VALUE"""),2017.0)</f>
        <v>2017</v>
      </c>
      <c r="F12" s="24" t="str">
        <f>IFERROR(__xludf.DUMMYFUNCTION("""COMPUTED_VALUE"""),"Ofensa à honra, Dano extrapatrimonial,; Responsabilidade civil")</f>
        <v>Ofensa à honra, Dano extrapatrimonial,; Responsabilidade civil</v>
      </c>
      <c r="G12" s="28" t="str">
        <f>IFERROR(__xludf.DUMMYFUNCTION("""COMPUTED_VALUE"""),"9788584221059")</f>
        <v>9788584221059</v>
      </c>
      <c r="H12" s="29" t="str">
        <f>IFERROR(__xludf.DUMMYFUNCTION("""COMPUTED_VALUE"""),"https://www.unoesc.edu.br/images/uploads/editora/A_coerencia_do_metodo_bifasico_de_fixacao.pdf")</f>
        <v>https://www.unoesc.edu.br/images/uploads/editora/A_coerencia_do_metodo_bifasico_de_fixacao.pdf</v>
      </c>
      <c r="I12" s="24" t="str">
        <f>IFERROR(__xludf.DUMMYFUNCTION("""COMPUTED_VALUE"""),"Ciências Sociais Aplicadas")</f>
        <v>Ciências Sociais Aplicadas</v>
      </c>
    </row>
    <row r="13">
      <c r="A13" s="24" t="str">
        <f>IFERROR(__xludf.DUMMYFUNCTION("""COMPUTED_VALUE"""),"A configuração constitucional do direito fundamental à liberdade religiosa e do princípio da laicidade: uma análise pautada na jurisprudência do Supremo Tribunal Federal")</f>
        <v>A configuração constitucional do direito fundamental à liberdade religiosa e do princípio da laicidade: uma análise pautada na jurisprudência do Supremo Tribunal Federal</v>
      </c>
      <c r="B13" s="24" t="str">
        <f>IFERROR(__xludf.DUMMYFUNCTION("""COMPUTED_VALUE"""),"Michel Ferrari Borges dos Santos")</f>
        <v>Michel Ferrari Borges dos Santos</v>
      </c>
      <c r="C13" s="24" t="str">
        <f>IFERROR(__xludf.DUMMYFUNCTION("""COMPUTED_VALUE"""),"Joaçaba")</f>
        <v>Joaçaba</v>
      </c>
      <c r="D13" s="24" t="str">
        <f>IFERROR(__xludf.DUMMYFUNCTION("""COMPUTED_VALUE"""),"Unoesc")</f>
        <v>Unoesc</v>
      </c>
      <c r="E13" s="25">
        <f>IFERROR(__xludf.DUMMYFUNCTION("""COMPUTED_VALUE"""),2020.0)</f>
        <v>2020</v>
      </c>
      <c r="F13" s="24" t="str">
        <f>IFERROR(__xludf.DUMMYFUNCTION("""COMPUTED_VALUE"""),"Direitos fundamentais Liberdade religiosa Decisão (Direito)")</f>
        <v>Direitos fundamentais Liberdade religiosa Decisão (Direito)</v>
      </c>
      <c r="G13" s="28" t="str">
        <f>IFERROR(__xludf.DUMMYFUNCTION("""COMPUTED_VALUE"""),"9786586158113")</f>
        <v>9786586158113</v>
      </c>
      <c r="H13" s="29" t="str">
        <f>IFERROR(__xludf.DUMMYFUNCTION("""COMPUTED_VALUE"""),"https://www.unoesc.edu.br/images/uploads/editora/Miolo_-_A_Configuração_revisado.pdf")</f>
        <v>https://www.unoesc.edu.br/images/uploads/editora/Miolo_-_A_Configuração_revisado.pdf</v>
      </c>
      <c r="I13" s="24" t="str">
        <f>IFERROR(__xludf.DUMMYFUNCTION("""COMPUTED_VALUE"""),"Ciências Sociais Aplicadas")</f>
        <v>Ciências Sociais Aplicadas</v>
      </c>
    </row>
    <row r="14">
      <c r="A14" s="24" t="str">
        <f>IFERROR(__xludf.DUMMYFUNCTION("""COMPUTED_VALUE"""),"A Construção da Pesquisa em Estudos da Mídia")</f>
        <v>A Construção da Pesquisa em Estudos da Mídia</v>
      </c>
      <c r="B14" s="24" t="str">
        <f>IFERROR(__xludf.DUMMYFUNCTION("""COMPUTED_VALUE"""),"Itamar de Morais Nobre; Sebastião Guilherme Albano da Costa; Alice Oliveira de Andrade (org.)")</f>
        <v>Itamar de Morais Nobre; Sebastião Guilherme Albano da Costa; Alice Oliveira de Andrade (org.)</v>
      </c>
      <c r="C14" s="24" t="str">
        <f>IFERROR(__xludf.DUMMYFUNCTION("""COMPUTED_VALUE"""),"Campina Grande")</f>
        <v>Campina Grande</v>
      </c>
      <c r="D14" s="24" t="str">
        <f>IFERROR(__xludf.DUMMYFUNCTION("""COMPUTED_VALUE"""),"EDUEPB")</f>
        <v>EDUEPB</v>
      </c>
      <c r="E14" s="25">
        <f>IFERROR(__xludf.DUMMYFUNCTION("""COMPUTED_VALUE"""),2017.0)</f>
        <v>2017</v>
      </c>
      <c r="F14" s="24" t="str">
        <f>IFERROR(__xludf.DUMMYFUNCTION("""COMPUTED_VALUE"""),"Teoria da Comunicação. Práticas sociais. Estudos da mídia. Pesquisa. Metodologias")</f>
        <v>Teoria da Comunicação. Práticas sociais. Estudos da mídia. Pesquisa. Metodologias</v>
      </c>
      <c r="G14" s="28" t="str">
        <f>IFERROR(__xludf.DUMMYFUNCTION("""COMPUTED_VALUE"""),"9788578794460")</f>
        <v>9788578794460</v>
      </c>
      <c r="H14" s="29" t="str">
        <f>IFERROR(__xludf.DUMMYFUNCTION("""COMPUTED_VALUE"""),"http://eduepb.uepb.edu.br/download/a-construcao-da-pesquisa-em-estudos-da-midia/?wpdmdl=534&amp;amp;masterkey=5bec0e99ee6b7")</f>
        <v>http://eduepb.uepb.edu.br/download/a-construcao-da-pesquisa-em-estudos-da-midia/?wpdmdl=534&amp;amp;masterkey=5bec0e99ee6b7</v>
      </c>
      <c r="I14" s="24" t="str">
        <f>IFERROR(__xludf.DUMMYFUNCTION("""COMPUTED_VALUE"""),"Ciências Sociais Aplicadas")</f>
        <v>Ciências Sociais Aplicadas</v>
      </c>
    </row>
    <row r="15">
      <c r="A15" s="24" t="str">
        <f>IFERROR(__xludf.DUMMYFUNCTION("""COMPUTED_VALUE"""),"A continuação da formação acadêmica e os caminhos da pós-graduação*")</f>
        <v>A continuação da formação acadêmica e os caminhos da pós-graduação*</v>
      </c>
      <c r="B15" s="24" t="str">
        <f>IFERROR(__xludf.DUMMYFUNCTION("""COMPUTED_VALUE"""),"Alessandro Stumpf")</f>
        <v>Alessandro Stumpf</v>
      </c>
      <c r="C15" s="24" t="str">
        <f>IFERROR(__xludf.DUMMYFUNCTION("""COMPUTED_VALUE"""),"Chapecó")</f>
        <v>Chapecó</v>
      </c>
      <c r="D15" s="24" t="str">
        <f>IFERROR(__xludf.DUMMYFUNCTION("""COMPUTED_VALUE"""),"Argos")</f>
        <v>Argos</v>
      </c>
      <c r="E15" s="25">
        <f>IFERROR(__xludf.DUMMYFUNCTION("""COMPUTED_VALUE"""),2018.0)</f>
        <v>2018</v>
      </c>
      <c r="F15" s="24" t="str">
        <f>IFERROR(__xludf.DUMMYFUNCTION("""COMPUTED_VALUE"""),"Ensino Médio. Ensino superior - Pesquisa. Pós-graduação")</f>
        <v>Ensino Médio. Ensino superior - Pesquisa. Pós-graduação</v>
      </c>
      <c r="G15" s="28" t="str">
        <f>IFERROR(__xludf.DUMMYFUNCTION("""COMPUTED_VALUE"""),"9788578972905")</f>
        <v>9788578972905</v>
      </c>
      <c r="H15" s="29" t="str">
        <f>IFERROR(__xludf.DUMMYFUNCTION("""COMPUTED_VALUE"""),"https://www.editoraargos.com.br/farol/editoraargos/ebook/a-continuacao-da-formacao-academica-e-os-caminhos-da-pos-graduacao/735454/")</f>
        <v>https://www.editoraargos.com.br/farol/editoraargos/ebook/a-continuacao-da-formacao-academica-e-os-caminhos-da-pos-graduacao/735454/</v>
      </c>
      <c r="I15" s="24" t="str">
        <f>IFERROR(__xludf.DUMMYFUNCTION("""COMPUTED_VALUE"""),"Ciências Sociais Aplicadas")</f>
        <v>Ciências Sociais Aplicadas</v>
      </c>
    </row>
    <row r="16">
      <c r="A16" s="24" t="str">
        <f>IFERROR(__xludf.DUMMYFUNCTION("""COMPUTED_VALUE"""),"A crise fiscal do Estado brasileiro: uma economia política dos direitos fundamentais")</f>
        <v>A crise fiscal do Estado brasileiro: uma economia política dos direitos fundamentais</v>
      </c>
      <c r="B16" s="24" t="str">
        <f>IFERROR(__xludf.DUMMYFUNCTION("""COMPUTED_VALUE"""),"Matheus Felipe de Castro, Valcir Gassen; ")</f>
        <v>Matheus Felipe de Castro, Valcir Gassen; </v>
      </c>
      <c r="C16" s="24" t="str">
        <f>IFERROR(__xludf.DUMMYFUNCTION("""COMPUTED_VALUE"""),"Joaçaba")</f>
        <v>Joaçaba</v>
      </c>
      <c r="D16" s="24" t="str">
        <f>IFERROR(__xludf.DUMMYFUNCTION("""COMPUTED_VALUE"""),"Unoesc")</f>
        <v>Unoesc</v>
      </c>
      <c r="E16" s="25">
        <f>IFERROR(__xludf.DUMMYFUNCTION("""COMPUTED_VALUE"""),2019.0)</f>
        <v>2019</v>
      </c>
      <c r="F16" s="24" t="str">
        <f>IFERROR(__xludf.DUMMYFUNCTION("""COMPUTED_VALUE"""),"Mercado financeiro, Política econômica, Desenvolvimento econômico")</f>
        <v>Mercado financeiro, Política econômica, Desenvolvimento econômico</v>
      </c>
      <c r="G16" s="28" t="str">
        <f>IFERROR(__xludf.DUMMYFUNCTION("""COMPUTED_VALUE"""),"9788584222216")</f>
        <v>9788584222216</v>
      </c>
      <c r="H16" s="29" t="str">
        <f>IFERROR(__xludf.DUMMYFUNCTION("""COMPUTED_VALUE"""),"https://www.unoesc.edu.br/images/uploads/editora/Miolo_A_crise_fiscal.pdf")</f>
        <v>https://www.unoesc.edu.br/images/uploads/editora/Miolo_A_crise_fiscal.pdf</v>
      </c>
      <c r="I16" s="24" t="str">
        <f>IFERROR(__xludf.DUMMYFUNCTION("""COMPUTED_VALUE"""),"Ciências Sociais Aplicadas")</f>
        <v>Ciências Sociais Aplicadas</v>
      </c>
    </row>
    <row r="17">
      <c r="A17" s="24" t="str">
        <f>IFERROR(__xludf.DUMMYFUNCTION("""COMPUTED_VALUE"""),"A Economia política do Governo Obama (disponível temporariamente)")</f>
        <v>A Economia política do Governo Obama (disponível temporariamente)</v>
      </c>
      <c r="B17" s="24" t="str">
        <f>IFERROR(__xludf.DUMMYFUNCTION("""COMPUTED_VALUE"""),"Reginaldo Carmello Correa de Moraes, Henrique Zeferino de Menezes")</f>
        <v>Reginaldo Carmello Correa de Moraes, Henrique Zeferino de Menezes</v>
      </c>
      <c r="C17" s="24" t="str">
        <f>IFERROR(__xludf.DUMMYFUNCTION("""COMPUTED_VALUE"""),"João Pessoa")</f>
        <v>João Pessoa</v>
      </c>
      <c r="D17" s="24" t="str">
        <f>IFERROR(__xludf.DUMMYFUNCTION("""COMPUTED_VALUE"""),"Editora da UFPB")</f>
        <v>Editora da UFPB</v>
      </c>
      <c r="E17" s="25">
        <f>IFERROR(__xludf.DUMMYFUNCTION("""COMPUTED_VALUE"""),2017.0)</f>
        <v>2017</v>
      </c>
      <c r="F17" s="24" t="str">
        <f>IFERROR(__xludf.DUMMYFUNCTION("""COMPUTED_VALUE"""),"Economia política; Política energética; Relações internacionais")</f>
        <v>Economia política; Política energética; Relações internacionais</v>
      </c>
      <c r="G17" s="28" t="str">
        <f>IFERROR(__xludf.DUMMYFUNCTION("""COMPUTED_VALUE"""),"9788523712631")</f>
        <v>9788523712631</v>
      </c>
      <c r="H17" s="29" t="str">
        <f>IFERROR(__xludf.DUMMYFUNCTION("""COMPUTED_VALUE"""),"http://www.editora.ufpb.br/sistema/press5/index.php/UFPB/catalog/book/574")</f>
        <v>http://www.editora.ufpb.br/sistema/press5/index.php/UFPB/catalog/book/574</v>
      </c>
      <c r="I17" s="24" t="str">
        <f>IFERROR(__xludf.DUMMYFUNCTION("""COMPUTED_VALUE"""),"Ciências Sociais Aplicadas")</f>
        <v>Ciências Sociais Aplicadas</v>
      </c>
    </row>
    <row r="18">
      <c r="A18" s="24" t="str">
        <f>IFERROR(__xludf.DUMMYFUNCTION("""COMPUTED_VALUE"""),"À escuta da aldeia: marcadores sociais e a memória nas comunidades indígenas no Brasil Meridional")</f>
        <v>À escuta da aldeia: marcadores sociais e a memória nas comunidades indígenas no Brasil Meridional</v>
      </c>
      <c r="B18" s="24" t="str">
        <f>IFERROR(__xludf.DUMMYFUNCTION("""COMPUTED_VALUE"""),"Thais Janaina Wenczenovicz")</f>
        <v>Thais Janaina Wenczenovicz</v>
      </c>
      <c r="C18" s="24" t="str">
        <f>IFERROR(__xludf.DUMMYFUNCTION("""COMPUTED_VALUE"""),"Joaçaba")</f>
        <v>Joaçaba</v>
      </c>
      <c r="D18" s="24" t="str">
        <f>IFERROR(__xludf.DUMMYFUNCTION("""COMPUTED_VALUE"""),"Unoesc")</f>
        <v>Unoesc</v>
      </c>
      <c r="E18" s="25">
        <f>IFERROR(__xludf.DUMMYFUNCTION("""COMPUTED_VALUE"""),2019.0)</f>
        <v>2019</v>
      </c>
      <c r="F18" s="24" t="str">
        <f>IFERROR(__xludf.DUMMYFUNCTION("""COMPUTED_VALUE"""),"Direitos humanos, Índios – Vida e costumes sociais")</f>
        <v>Direitos humanos, Índios – Vida e costumes sociais</v>
      </c>
      <c r="G18" s="28" t="str">
        <f>IFERROR(__xludf.DUMMYFUNCTION("""COMPUTED_VALUE"""),"9788584222209")</f>
        <v>9788584222209</v>
      </c>
      <c r="H18" s="29" t="str">
        <f>IFERROR(__xludf.DUMMYFUNCTION("""COMPUTED_VALUE"""),"https://www.unoesc.edu.br/images/uploads/editora/miolo_a_escuta_da_aldeia.pdf")</f>
        <v>https://www.unoesc.edu.br/images/uploads/editora/miolo_a_escuta_da_aldeia.pdf</v>
      </c>
      <c r="I18" s="24" t="str">
        <f>IFERROR(__xludf.DUMMYFUNCTION("""COMPUTED_VALUE"""),"Ciências Sociais Aplicadas")</f>
        <v>Ciências Sociais Aplicadas</v>
      </c>
    </row>
    <row r="19">
      <c r="A19" s="24" t="str">
        <f>IFERROR(__xludf.DUMMYFUNCTION("""COMPUTED_VALUE"""),"A extensão e a pesquisa: um caminho de mão dupla entre comunidade e universidade*")</f>
        <v>A extensão e a pesquisa: um caminho de mão dupla entre comunidade e universidade*</v>
      </c>
      <c r="B19" s="24" t="str">
        <f>IFERROR(__xludf.DUMMYFUNCTION("""COMPUTED_VALUE"""),"Lilian Beatriz Schwinn Rodrigues; Maria Aparecida Lucca Caovilla")</f>
        <v>Lilian Beatriz Schwinn Rodrigues; Maria Aparecida Lucca Caovilla</v>
      </c>
      <c r="C19" s="24" t="str">
        <f>IFERROR(__xludf.DUMMYFUNCTION("""COMPUTED_VALUE"""),"Chapecó")</f>
        <v>Chapecó</v>
      </c>
      <c r="D19" s="24" t="str">
        <f>IFERROR(__xludf.DUMMYFUNCTION("""COMPUTED_VALUE"""),"Argos")</f>
        <v>Argos</v>
      </c>
      <c r="E19" s="25">
        <f>IFERROR(__xludf.DUMMYFUNCTION("""COMPUTED_VALUE"""),2018.0)</f>
        <v>2018</v>
      </c>
      <c r="F19" s="24" t="str">
        <f>IFERROR(__xludf.DUMMYFUNCTION("""COMPUTED_VALUE"""),"Pesquisa científica. Ensino superior. Extensão Universitária")</f>
        <v>Pesquisa científica. Ensino superior. Extensão Universitária</v>
      </c>
      <c r="G19" s="28" t="str">
        <f>IFERROR(__xludf.DUMMYFUNCTION("""COMPUTED_VALUE"""),"9788578973025")</f>
        <v>9788578973025</v>
      </c>
      <c r="H19" s="29" t="str">
        <f>IFERROR(__xludf.DUMMYFUNCTION("""COMPUTED_VALUE"""),"https://www.editoraargos.com.br/farol/editoraargos/ebook/a-extensao-e-a-pesquisa-um-caminho-de-mao-dupla-entre-comunidade-e-universidade/1063045/")</f>
        <v>https://www.editoraargos.com.br/farol/editoraargos/ebook/a-extensao-e-a-pesquisa-um-caminho-de-mao-dupla-entre-comunidade-e-universidade/1063045/</v>
      </c>
      <c r="I19" s="24" t="str">
        <f>IFERROR(__xludf.DUMMYFUNCTION("""COMPUTED_VALUE"""),"Ciências Sociais Aplicadas")</f>
        <v>Ciências Sociais Aplicadas</v>
      </c>
    </row>
    <row r="20">
      <c r="A20" s="24" t="str">
        <f>IFERROR(__xludf.DUMMYFUNCTION("""COMPUTED_VALUE"""),"A filosofia do direito e a dogmática dos direitos fundamentais")</f>
        <v>A filosofia do direito e a dogmática dos direitos fundamentais</v>
      </c>
      <c r="B20" s="24" t="str">
        <f>IFERROR(__xludf.DUMMYFUNCTION("""COMPUTED_VALUE"""),"Cristhian Magnus De Marco, Fausto Santos de Moraes, Rogério Luiz Nery da Silva eThaís Janaina Wenczenovicz")</f>
        <v>Cristhian Magnus De Marco, Fausto Santos de Moraes, Rogério Luiz Nery da Silva eThaís Janaina Wenczenovicz</v>
      </c>
      <c r="C20" s="24" t="str">
        <f>IFERROR(__xludf.DUMMYFUNCTION("""COMPUTED_VALUE"""),"Joaçaba")</f>
        <v>Joaçaba</v>
      </c>
      <c r="D20" s="24" t="str">
        <f>IFERROR(__xludf.DUMMYFUNCTION("""COMPUTED_VALUE"""),"Unoesc")</f>
        <v>Unoesc</v>
      </c>
      <c r="E20" s="25">
        <f>IFERROR(__xludf.DUMMYFUNCTION("""COMPUTED_VALUE"""),2018.0)</f>
        <v>2018</v>
      </c>
      <c r="F20" s="24" t="str">
        <f>IFERROR(__xludf.DUMMYFUNCTION("""COMPUTED_VALUE"""),"Direitos fundamentais, Direito - Filosofia,; Dogmática jurídica")</f>
        <v>Direitos fundamentais, Direito - Filosofia,; Dogmática jurídica</v>
      </c>
      <c r="G20" s="28" t="str">
        <f>IFERROR(__xludf.DUMMYFUNCTION("""COMPUTED_VALUE"""),"9788584221929")</f>
        <v>9788584221929</v>
      </c>
      <c r="H20" s="29" t="str">
        <f>IFERROR(__xludf.DUMMYFUNCTION("""COMPUTED_VALUE"""),"https://www.unoesc.edu.br/images/uploads/editora/Livro_3_Spring_2017.pdf")</f>
        <v>https://www.unoesc.edu.br/images/uploads/editora/Livro_3_Spring_2017.pdf</v>
      </c>
      <c r="I20" s="24" t="str">
        <f>IFERROR(__xludf.DUMMYFUNCTION("""COMPUTED_VALUE"""),"Ciências Sociais Aplicadas")</f>
        <v>Ciências Sociais Aplicadas</v>
      </c>
    </row>
    <row r="21">
      <c r="A21" s="24" t="str">
        <f>IFERROR(__xludf.DUMMYFUNCTION("""COMPUTED_VALUE"""),"A Gazeta do Rio de Janeiro (1808-1822): cultura e sociedade")</f>
        <v>A Gazeta do Rio de Janeiro (1808-1822): cultura e sociedade</v>
      </c>
      <c r="B21" s="24" t="str">
        <f>IFERROR(__xludf.DUMMYFUNCTION("""COMPUTED_VALUE"""),"Maria Beatriz Nizza da Silva")</f>
        <v>Maria Beatriz Nizza da Silva</v>
      </c>
      <c r="C21" s="24" t="str">
        <f>IFERROR(__xludf.DUMMYFUNCTION("""COMPUTED_VALUE"""),"Rio de Janeiro")</f>
        <v>Rio de Janeiro</v>
      </c>
      <c r="D21" s="24" t="str">
        <f>IFERROR(__xludf.DUMMYFUNCTION("""COMPUTED_VALUE"""),"EdUERJ")</f>
        <v>EdUERJ</v>
      </c>
      <c r="E21" s="25">
        <f>IFERROR(__xludf.DUMMYFUNCTION("""COMPUTED_VALUE"""),2007.0)</f>
        <v>2007</v>
      </c>
      <c r="F21" s="24" t="str">
        <f>IFERROR(__xludf.DUMMYFUNCTION("""COMPUTED_VALUE"""),"A Gazeta do Rio de Janeiro; Jornais brasileiros; Imprensa")</f>
        <v>A Gazeta do Rio de Janeiro; Jornais brasileiros; Imprensa</v>
      </c>
      <c r="G21" s="28" t="str">
        <f>IFERROR(__xludf.DUMMYFUNCTION("""COMPUTED_VALUE"""),"9788575111055")</f>
        <v>9788575111055</v>
      </c>
      <c r="H21" s="29" t="str">
        <f>IFERROR(__xludf.DUMMYFUNCTION("""COMPUTED_VALUE"""),"https://www.eduerj.com/eng/?product=a-gazeta-do-rio-de-janeiro-1808-1822-cultura-e-sociedade")</f>
        <v>https://www.eduerj.com/eng/?product=a-gazeta-do-rio-de-janeiro-1808-1822-cultura-e-sociedade</v>
      </c>
      <c r="I21" s="24" t="str">
        <f>IFERROR(__xludf.DUMMYFUNCTION("""COMPUTED_VALUE"""),"Ciências Sociais Aplicadas")</f>
        <v>Ciências Sociais Aplicadas</v>
      </c>
    </row>
    <row r="22">
      <c r="A22" s="24" t="str">
        <f>IFERROR(__xludf.DUMMYFUNCTION("""COMPUTED_VALUE"""),"A gestão pública municipal: múltiplas abordagens")</f>
        <v>A gestão pública municipal: múltiplas abordagens</v>
      </c>
      <c r="B22" s="24" t="str">
        <f>IFERROR(__xludf.DUMMYFUNCTION("""COMPUTED_VALUE"""),"José Irivaldo Alves O. Silva; Luiz Antônio Coêlho da Silva (org.)")</f>
        <v>José Irivaldo Alves O. Silva; Luiz Antônio Coêlho da Silva (org.)</v>
      </c>
      <c r="C22" s="24" t="str">
        <f>IFERROR(__xludf.DUMMYFUNCTION("""COMPUTED_VALUE"""),"Campina Grande")</f>
        <v>Campina Grande</v>
      </c>
      <c r="D22" s="24" t="str">
        <f>IFERROR(__xludf.DUMMYFUNCTION("""COMPUTED_VALUE"""),"EDUEPB")</f>
        <v>EDUEPB</v>
      </c>
      <c r="E22" s="25">
        <f>IFERROR(__xludf.DUMMYFUNCTION("""COMPUTED_VALUE"""),2017.0)</f>
        <v>2017</v>
      </c>
      <c r="F22" s="24" t="str">
        <f>IFERROR(__xludf.DUMMYFUNCTION("""COMPUTED_VALUE"""),"Gestão Pública. Tecnologia da educação. Gestão ambiental. Gestão da saúde municipal. Economia. Políticas Sociais. Cariri paraibano")</f>
        <v>Gestão Pública. Tecnologia da educação. Gestão ambiental. Gestão da saúde municipal. Economia. Políticas Sociais. Cariri paraibano</v>
      </c>
      <c r="G22" s="28" t="str">
        <f>IFERROR(__xludf.DUMMYFUNCTION("""COMPUTED_VALUE"""),"9788578793623")</f>
        <v>9788578793623</v>
      </c>
      <c r="H22" s="29" t="str">
        <f>IFERROR(__xludf.DUMMYFUNCTION("""COMPUTED_VALUE"""),"http://eduepb.uepb.edu.br/download/a-gestao-publica-municipal-multiplas-abordagens/?wpdmdl=373&amp;amp;masterkey=5b042a68dc6ce")</f>
        <v>http://eduepb.uepb.edu.br/download/a-gestao-publica-municipal-multiplas-abordagens/?wpdmdl=373&amp;amp;masterkey=5b042a68dc6ce</v>
      </c>
      <c r="I22" s="24" t="str">
        <f>IFERROR(__xludf.DUMMYFUNCTION("""COMPUTED_VALUE"""),"Ciências Sociais Aplicadas")</f>
        <v>Ciências Sociais Aplicadas</v>
      </c>
    </row>
    <row r="23">
      <c r="A23" s="24" t="str">
        <f>IFERROR(__xludf.DUMMYFUNCTION("""COMPUTED_VALUE"""),"A importância dos espaços livres públicos em estratégias de adaptação de áreas urbanas costeiras sujeitas à inundação no contexto da mudança climática")</f>
        <v>A importância dos espaços livres públicos em estratégias de adaptação de áreas urbanas costeiras sujeitas à inundação no contexto da mudança climática</v>
      </c>
      <c r="B23" s="24" t="str">
        <f>IFERROR(__xludf.DUMMYFUNCTION("""COMPUTED_VALUE"""),"Erika Brum Palma Pereira")</f>
        <v>Erika Brum Palma Pereira</v>
      </c>
      <c r="C23" s="24" t="str">
        <f>IFERROR(__xludf.DUMMYFUNCTION("""COMPUTED_VALUE"""),"Rio de Janeiro")</f>
        <v>Rio de Janeiro</v>
      </c>
      <c r="D23" s="24" t="str">
        <f>IFERROR(__xludf.DUMMYFUNCTION("""COMPUTED_VALUE"""),"Editora PUC Rio")</f>
        <v>Editora PUC Rio</v>
      </c>
      <c r="E23" s="25">
        <f>IFERROR(__xludf.DUMMYFUNCTION("""COMPUTED_VALUE"""),2018.0)</f>
        <v>2018</v>
      </c>
      <c r="F23" s="24" t="str">
        <f>IFERROR(__xludf.DUMMYFUNCTION("""COMPUTED_VALUE"""),"Mudanças climáticas. Áreas urbanas")</f>
        <v>Mudanças climáticas. Áreas urbanas</v>
      </c>
      <c r="G23" s="28" t="str">
        <f>IFERROR(__xludf.DUMMYFUNCTION("""COMPUTED_VALUE"""),"9788567477282")</f>
        <v>9788567477282</v>
      </c>
      <c r="H23" s="29" t="str">
        <f>IFERROR(__xludf.DUMMYFUNCTION("""COMPUTED_VALUE"""),"http://www.editora.puc-rio.br/media/import%C3%A2ncia%20dos%20espa%C3%A7os%20livres%20p%C3%BAblicos%20em%20estrat%C3%A9gias%20de%20adapta%C3%A7%C3%A3o.pdf")</f>
        <v>http://www.editora.puc-rio.br/media/import%C3%A2ncia%20dos%20espa%C3%A7os%20livres%20p%C3%BAblicos%20em%20estrat%C3%A9gias%20de%20adapta%C3%A7%C3%A3o.pdf</v>
      </c>
      <c r="I23" s="24" t="str">
        <f>IFERROR(__xludf.DUMMYFUNCTION("""COMPUTED_VALUE"""),"Ciências Sociais Aplicadas")</f>
        <v>Ciências Sociais Aplicadas</v>
      </c>
    </row>
    <row r="24">
      <c r="A24" s="24" t="str">
        <f>IFERROR(__xludf.DUMMYFUNCTION("""COMPUTED_VALUE"""),"A Informação e a Proteção da Propriedade Intelectual (disponível temporariamente)")</f>
        <v>A Informação e a Proteção da Propriedade Intelectual (disponível temporariamente)</v>
      </c>
      <c r="B24" s="24" t="str">
        <f>IFERROR(__xludf.DUMMYFUNCTION("""COMPUTED_VALUE"""),"Rosilene Paiva Marinho de Sousa; Guilherme Ataíde Dias")</f>
        <v>Rosilene Paiva Marinho de Sousa; Guilherme Ataíde Dias</v>
      </c>
      <c r="C24" s="24" t="str">
        <f>IFERROR(__xludf.DUMMYFUNCTION("""COMPUTED_VALUE"""),"João Pessoa")</f>
        <v>João Pessoa</v>
      </c>
      <c r="D24" s="24" t="str">
        <f>IFERROR(__xludf.DUMMYFUNCTION("""COMPUTED_VALUE"""),"Editora da UFPB")</f>
        <v>Editora da UFPB</v>
      </c>
      <c r="E24" s="25">
        <f>IFERROR(__xludf.DUMMYFUNCTION("""COMPUTED_VALUE"""),2017.0)</f>
        <v>2017</v>
      </c>
      <c r="F24" s="24" t="str">
        <f>IFERROR(__xludf.DUMMYFUNCTION("""COMPUTED_VALUE"""),"Propriedade intelectual. Informação - Direito autoral")</f>
        <v>Propriedade intelectual. Informação - Direito autoral</v>
      </c>
      <c r="G24" s="28" t="str">
        <f>IFERROR(__xludf.DUMMYFUNCTION("""COMPUTED_VALUE"""),"9788523712020")</f>
        <v>9788523712020</v>
      </c>
      <c r="H24" s="29" t="str">
        <f>IFERROR(__xludf.DUMMYFUNCTION("""COMPUTED_VALUE"""),"http://www.editora.ufpb.br/sistema/press5/index.php/UFPB/catalog/book/278")</f>
        <v>http://www.editora.ufpb.br/sistema/press5/index.php/UFPB/catalog/book/278</v>
      </c>
      <c r="I24" s="24" t="str">
        <f>IFERROR(__xludf.DUMMYFUNCTION("""COMPUTED_VALUE"""),"Ciências Sociais Aplicadas")</f>
        <v>Ciências Sociais Aplicadas</v>
      </c>
    </row>
    <row r="25">
      <c r="A25" s="24" t="str">
        <f>IFERROR(__xludf.DUMMYFUNCTION("""COMPUTED_VALUE"""),"A lei da ficha limpa")</f>
        <v>A lei da ficha limpa</v>
      </c>
      <c r="B25" s="24" t="str">
        <f>IFERROR(__xludf.DUMMYFUNCTION("""COMPUTED_VALUE"""),"Carlos Valder do Nascimento")</f>
        <v>Carlos Valder do Nascimento</v>
      </c>
      <c r="C25" s="24" t="str">
        <f>IFERROR(__xludf.DUMMYFUNCTION("""COMPUTED_VALUE"""),"Ilhéus, BA")</f>
        <v>Ilhéus, BA</v>
      </c>
      <c r="D25" s="24" t="str">
        <f>IFERROR(__xludf.DUMMYFUNCTION("""COMPUTED_VALUE"""),"Editus")</f>
        <v>Editus</v>
      </c>
      <c r="E25" s="25">
        <f>IFERROR(__xludf.DUMMYFUNCTION("""COMPUTED_VALUE"""),2014.0)</f>
        <v>2014</v>
      </c>
      <c r="F25" s="24" t="str">
        <f>IFERROR(__xludf.DUMMYFUNCTION("""COMPUTED_VALUE"""),"Direito eleitoral – Brasil; Candidatos políticos –; Brasil – Conduta; Inelegibilidades – Brasil")</f>
        <v>Direito eleitoral – Brasil; Candidatos políticos –; Brasil – Conduta; Inelegibilidades – Brasil</v>
      </c>
      <c r="G25" s="28" t="str">
        <f>IFERROR(__xludf.DUMMYFUNCTION("""COMPUTED_VALUE"""),"9788574553276")</f>
        <v>9788574553276</v>
      </c>
      <c r="H25" s="29" t="str">
        <f>IFERROR(__xludf.DUMMYFUNCTION("""COMPUTED_VALUE"""),"http://www.uesc.br/editora/livrosdigitais2017/a_lei_da_ficha_limpa.pdf")</f>
        <v>http://www.uesc.br/editora/livrosdigitais2017/a_lei_da_ficha_limpa.pdf</v>
      </c>
      <c r="I25" s="24" t="str">
        <f>IFERROR(__xludf.DUMMYFUNCTION("""COMPUTED_VALUE"""),"Ciências Sociais Aplicadas")</f>
        <v>Ciências Sociais Aplicadas</v>
      </c>
    </row>
    <row r="26">
      <c r="A26" s="24" t="str">
        <f>IFERROR(__xludf.DUMMYFUNCTION("""COMPUTED_VALUE"""),"A mediação imperfeita em Paul Ricoeur")</f>
        <v>A mediação imperfeita em Paul Ricoeur</v>
      </c>
      <c r="B26" s="24" t="str">
        <f>IFERROR(__xludf.DUMMYFUNCTION("""COMPUTED_VALUE"""),"Möbbs, Adriane da Silva Machado")</f>
        <v>Möbbs, Adriane da Silva Machado</v>
      </c>
      <c r="C26" s="24" t="str">
        <f>IFERROR(__xludf.DUMMYFUNCTION("""COMPUTED_VALUE"""),"Pelotas")</f>
        <v>Pelotas</v>
      </c>
      <c r="D26" s="24" t="str">
        <f>IFERROR(__xludf.DUMMYFUNCTION("""COMPUTED_VALUE"""),"UFPel")</f>
        <v>UFPel</v>
      </c>
      <c r="E26" s="25">
        <f>IFERROR(__xludf.DUMMYFUNCTION("""COMPUTED_VALUE"""),2017.0)</f>
        <v>2017</v>
      </c>
      <c r="F26" s="24" t="str">
        <f>IFERROR(__xludf.DUMMYFUNCTION("""COMPUTED_VALUE"""),"Paul Ricoeur; Ética; Mediação Imperfeita; Mediação")</f>
        <v>Paul Ricoeur; Ética; Mediação Imperfeita; Mediação</v>
      </c>
      <c r="G26" s="28" t="str">
        <f>IFERROR(__xludf.DUMMYFUNCTION("""COMPUTED_VALUE"""),"9788567332505")</f>
        <v>9788567332505</v>
      </c>
      <c r="H26" s="29" t="str">
        <f>IFERROR(__xludf.DUMMYFUNCTION("""COMPUTED_VALUE"""),"http://repositorio.ufpel.edu.br:8080/bitstream/prefix/3737/1/A%20media%c3%a7%c3%a3o%20imperfeita%20em%20Paul%20Ricoeur.pdf")</f>
        <v>http://repositorio.ufpel.edu.br:8080/bitstream/prefix/3737/1/A%20media%c3%a7%c3%a3o%20imperfeita%20em%20Paul%20Ricoeur.pdf</v>
      </c>
      <c r="I26" s="24" t="str">
        <f>IFERROR(__xludf.DUMMYFUNCTION("""COMPUTED_VALUE"""),"Ciências Sociais Aplicadas")</f>
        <v>Ciências Sociais Aplicadas</v>
      </c>
    </row>
    <row r="27">
      <c r="A27" s="24" t="str">
        <f>IFERROR(__xludf.DUMMYFUNCTION("""COMPUTED_VALUE"""),"A mesorregião Oeste catarinense: análise comparativa de indicadores demográficos, econômicos e educacionais de Santa Catarina")</f>
        <v>A mesorregião Oeste catarinense: análise comparativa de indicadores demográficos, econômicos e educacionais de Santa Catarina</v>
      </c>
      <c r="B27" s="24" t="str">
        <f>IFERROR(__xludf.DUMMYFUNCTION("""COMPUTED_VALUE"""),"Augusto Fischer, Luiz Carlos Lückmann")</f>
        <v>Augusto Fischer, Luiz Carlos Lückmann</v>
      </c>
      <c r="C27" s="24" t="str">
        <f>IFERROR(__xludf.DUMMYFUNCTION("""COMPUTED_VALUE"""),"Joaçaba")</f>
        <v>Joaçaba</v>
      </c>
      <c r="D27" s="24" t="str">
        <f>IFERROR(__xludf.DUMMYFUNCTION("""COMPUTED_VALUE"""),"Unoesc")</f>
        <v>Unoesc</v>
      </c>
      <c r="E27" s="25">
        <f>IFERROR(__xludf.DUMMYFUNCTION("""COMPUTED_VALUE"""),2020.0)</f>
        <v>2020</v>
      </c>
      <c r="F27" s="24" t="str">
        <f>IFERROR(__xludf.DUMMYFUNCTION("""COMPUTED_VALUE"""),"Desenvolvimento regional – Mesorregião Oeste Catarinense Indicadores econômicos – Santa Catarina, Oeste Indicadores educacionais")</f>
        <v>Desenvolvimento regional – Mesorregião Oeste Catarinense Indicadores econômicos – Santa Catarina, Oeste Indicadores educacionais</v>
      </c>
      <c r="G27" s="28" t="str">
        <f>IFERROR(__xludf.DUMMYFUNCTION("""COMPUTED_VALUE"""),"9786586158120")</f>
        <v>9786586158120</v>
      </c>
      <c r="H27" s="32" t="str">
        <f>IFERROR(__xludf.DUMMYFUNCTION("""COMPUTED_VALUE"""),"https://www.unoesc.edu.br/images/uploads/editora/Miolo_-_A_mesorregião_Oeste_catarinense.pdf")</f>
        <v>https://www.unoesc.edu.br/images/uploads/editora/Miolo_-_A_mesorregião_Oeste_catarinense.pdf</v>
      </c>
      <c r="I27" s="24" t="str">
        <f>IFERROR(__xludf.DUMMYFUNCTION("""COMPUTED_VALUE"""),"Ciências Sociais Aplicadas")</f>
        <v>Ciências Sociais Aplicadas</v>
      </c>
    </row>
    <row r="28">
      <c r="A28" s="24" t="str">
        <f>IFERROR(__xludf.DUMMYFUNCTION("""COMPUTED_VALUE"""),"A ONU aos 70: contribuições, desafios e perspectivas")</f>
        <v>A ONU aos 70: contribuições, desafios e perspectivas</v>
      </c>
      <c r="B28" s="24" t="str">
        <f>IFERROR(__xludf.DUMMYFUNCTION("""COMPUTED_VALUE"""),"Liliana Lyra Jubilut; João Carlos Jarochinski Silva; Larissa Ramina (org.)")</f>
        <v>Liliana Lyra Jubilut; João Carlos Jarochinski Silva; Larissa Ramina (org.)</v>
      </c>
      <c r="C28" s="24" t="str">
        <f>IFERROR(__xludf.DUMMYFUNCTION("""COMPUTED_VALUE"""),"Boa Vista ")</f>
        <v>Boa Vista </v>
      </c>
      <c r="D28" s="24" t="str">
        <f>IFERROR(__xludf.DUMMYFUNCTION("""COMPUTED_VALUE"""),"UFRR")</f>
        <v>UFRR</v>
      </c>
      <c r="E28" s="25">
        <f>IFERROR(__xludf.DUMMYFUNCTION("""COMPUTED_VALUE"""),2016.0)</f>
        <v>2016</v>
      </c>
      <c r="F28" s="24" t="str">
        <f>IFERROR(__xludf.DUMMYFUNCTION("""COMPUTED_VALUE"""),"Relações Internacionais")</f>
        <v>Relações Internacionais</v>
      </c>
      <c r="G28" s="28" t="str">
        <f>IFERROR(__xludf.DUMMYFUNCTION("""COMPUTED_VALUE"""),"9788582880999")</f>
        <v>9788582880999</v>
      </c>
      <c r="H28" s="29" t="str">
        <f>IFERROR(__xludf.DUMMYFUNCTION("""COMPUTED_VALUE"""),"http://ufrr.br/editora/index.php/editais/category/40-editais?download=395:aonuaos70")</f>
        <v>http://ufrr.br/editora/index.php/editais/category/40-editais?download=395:aonuaos70</v>
      </c>
      <c r="I28" s="24" t="str">
        <f>IFERROR(__xludf.DUMMYFUNCTION("""COMPUTED_VALUE"""),"Ciências Sociais Aplicadas")</f>
        <v>Ciências Sociais Aplicadas</v>
      </c>
    </row>
    <row r="29">
      <c r="A29" s="24" t="str">
        <f>IFERROR(__xludf.DUMMYFUNCTION("""COMPUTED_VALUE"""),"A particularidade histórica da pesquisa no serviço social*")</f>
        <v>A particularidade histórica da pesquisa no serviço social*</v>
      </c>
      <c r="B29" s="24" t="str">
        <f>IFERROR(__xludf.DUMMYFUNCTION("""COMPUTED_VALUE"""),"Jussara Ayres Bouguignos")</f>
        <v>Jussara Ayres Bouguignos</v>
      </c>
      <c r="C29" s="24" t="str">
        <f>IFERROR(__xludf.DUMMYFUNCTION("""COMPUTED_VALUE"""),"Ponta Grossa")</f>
        <v>Ponta Grossa</v>
      </c>
      <c r="D29" s="24" t="str">
        <f>IFERROR(__xludf.DUMMYFUNCTION("""COMPUTED_VALUE"""),"Editora UEPG")</f>
        <v>Editora UEPG</v>
      </c>
      <c r="E29" s="25">
        <f>IFERROR(__xludf.DUMMYFUNCTION("""COMPUTED_VALUE"""),2017.0)</f>
        <v>2017</v>
      </c>
      <c r="F29" s="24" t="str">
        <f>IFERROR(__xludf.DUMMYFUNCTION("""COMPUTED_VALUE"""),"Analisando a trajetória do Serviço Social como profissão reconhecida e inscrita na divisão sócio-técnica do trabalho, podemos afi rmar que ela tem uma história de avanços e conquistas, no sentido de consolidar uma produção de conhecimento que lhe dá suste"&amp;"ntação teórica e metodológica para intervir na realidade social de forma crítica e criativa, e esse processo de intervenção se faz respaldado em projeto ético e político comprometido com os interesses coletivos dos cidadãos e com a construção de uma socie"&amp;"dade justa")</f>
        <v>Analisando a trajetória do Serviço Social como profissão reconhecida e inscrita na divisão sócio-técnica do trabalho, podemos afi rmar que ela tem uma história de avanços e conquistas, no sentido de consolidar uma produção de conhecimento que lhe dá sustentação teórica e metodológica para intervir na realidade social de forma crítica e criativa, e esse processo de intervenção se faz respaldado em projeto ético e político comprometido com os interesses coletivos dos cidadãos e com a construção de uma sociedade justa</v>
      </c>
      <c r="G29" s="28" t="str">
        <f>IFERROR(__xludf.DUMMYFUNCTION("""COMPUTED_VALUE"""),"97885870643464")</f>
        <v>97885870643464</v>
      </c>
      <c r="H29" s="29" t="str">
        <f>IFERROR(__xludf.DUMMYFUNCTION("""COMPUTED_VALUE"""),"https://portal-archipelagus.azurewebsites.net/farol/eduepg/ebook/a-particularidade-historica-da-pesquisa-no-servico-social/34285/")</f>
        <v>https://portal-archipelagus.azurewebsites.net/farol/eduepg/ebook/a-particularidade-historica-da-pesquisa-no-servico-social/34285/</v>
      </c>
      <c r="I29" s="24" t="str">
        <f>IFERROR(__xludf.DUMMYFUNCTION("""COMPUTED_VALUE"""),"Ciências Sociais Aplicadas")</f>
        <v>Ciências Sociais Aplicadas</v>
      </c>
    </row>
    <row r="30">
      <c r="A30" s="24" t="str">
        <f>IFERROR(__xludf.DUMMYFUNCTION("""COMPUTED_VALUE"""),"A Peleja do Estudante de Administração")</f>
        <v>A Peleja do Estudante de Administração</v>
      </c>
      <c r="B30" s="24" t="str">
        <f>IFERROR(__xludf.DUMMYFUNCTION("""COMPUTED_VALUE"""),"Alexsandro Bilar")</f>
        <v>Alexsandro Bilar</v>
      </c>
      <c r="C30" s="24" t="str">
        <f>IFERROR(__xludf.DUMMYFUNCTION("""COMPUTED_VALUE"""),"Recife")</f>
        <v>Recife</v>
      </c>
      <c r="D30" s="24" t="str">
        <f>IFERROR(__xludf.DUMMYFUNCTION("""COMPUTED_VALUE"""),"Editora Universitária da UFRPE")</f>
        <v>Editora Universitária da UFRPE</v>
      </c>
      <c r="E30" s="25">
        <f>IFERROR(__xludf.DUMMYFUNCTION("""COMPUTED_VALUE"""),2014.0)</f>
        <v>2014</v>
      </c>
      <c r="F30" s="24" t="str">
        <f>IFERROR(__xludf.DUMMYFUNCTION("""COMPUTED_VALUE"""),"Administração; Estudantes; Cordel")</f>
        <v>Administração; Estudantes; Cordel</v>
      </c>
      <c r="G30" s="26"/>
      <c r="H30" s="29" t="str">
        <f>IFERROR(__xludf.DUMMYFUNCTION("""COMPUTED_VALUE"""),"https://www.dropbox.com/s/v16xcgy7dea87du/Cordel_Peleja%20do%20estudante%20de%20Administracao.pdf")</f>
        <v>https://www.dropbox.com/s/v16xcgy7dea87du/Cordel_Peleja%20do%20estudante%20de%20Administracao.pdf</v>
      </c>
      <c r="I30" s="24" t="str">
        <f>IFERROR(__xludf.DUMMYFUNCTION("""COMPUTED_VALUE"""),"Ciências Sociais Aplicadas")</f>
        <v>Ciências Sociais Aplicadas</v>
      </c>
    </row>
    <row r="31">
      <c r="A31" s="24" t="str">
        <f>IFERROR(__xludf.DUMMYFUNCTION("""COMPUTED_VALUE"""),"A política pública e o papel da universidade")</f>
        <v>A política pública e o papel da universidade</v>
      </c>
      <c r="B31" s="24" t="str">
        <f>IFERROR(__xludf.DUMMYFUNCTION("""COMPUTED_VALUE"""),"Douglas Murilo Siqueira; Fabiana Cabrera Silva (org.)")</f>
        <v>Douglas Murilo Siqueira; Fabiana Cabrera Silva (org.)</v>
      </c>
      <c r="C31" s="24" t="str">
        <f>IFERROR(__xludf.DUMMYFUNCTION("""COMPUTED_VALUE"""),"São Bernardo do Campo, SP")</f>
        <v>São Bernardo do Campo, SP</v>
      </c>
      <c r="D31" s="24" t="str">
        <f>IFERROR(__xludf.DUMMYFUNCTION("""COMPUTED_VALUE"""),"UMESP")</f>
        <v>UMESP</v>
      </c>
      <c r="E31" s="25">
        <f>IFERROR(__xludf.DUMMYFUNCTION("""COMPUTED_VALUE"""),2014.0)</f>
        <v>2014</v>
      </c>
      <c r="F31" s="24" t="str">
        <f>IFERROR(__xludf.DUMMYFUNCTION("""COMPUTED_VALUE"""),"Economia solidária. Políticas públicas. Incubadora de empresas. Incubadora de empreendimentos solidários. Desenvolvimento social")</f>
        <v>Economia solidária. Políticas públicas. Incubadora de empresas. Incubadora de empreendimentos solidários. Desenvolvimento social</v>
      </c>
      <c r="G31" s="28" t="str">
        <f>IFERROR(__xludf.DUMMYFUNCTION("""COMPUTED_VALUE"""),"9788578142803")</f>
        <v>9788578142803</v>
      </c>
      <c r="H31" s="29" t="str">
        <f>IFERROR(__xludf.DUMMYFUNCTION("""COMPUTED_VALUE"""),"http://editora.metodista.br/livros-gratis/a-politica-publica-e-o-papel-da-universidade/at_download/file")</f>
        <v>http://editora.metodista.br/livros-gratis/a-politica-publica-e-o-papel-da-universidade/at_download/file</v>
      </c>
      <c r="I31" s="24" t="str">
        <f>IFERROR(__xludf.DUMMYFUNCTION("""COMPUTED_VALUE"""),"Ciências Sociais Aplicadas")</f>
        <v>Ciências Sociais Aplicadas</v>
      </c>
    </row>
    <row r="32">
      <c r="A32" s="24" t="str">
        <f>IFERROR(__xludf.DUMMYFUNCTION("""COMPUTED_VALUE"""),"A psicologia na política para as mulheres em situação de violência: avanços e desafios")</f>
        <v>A psicologia na política para as mulheres em situação de violência: avanços e desafios</v>
      </c>
      <c r="B32" s="24" t="str">
        <f>IFERROR(__xludf.DUMMYFUNCTION("""COMPUTED_VALUE"""),"Madge Porto Cruz")</f>
        <v>Madge Porto Cruz</v>
      </c>
      <c r="C32" s="24" t="str">
        <f>IFERROR(__xludf.DUMMYFUNCTION("""COMPUTED_VALUE"""),"Rio Branco")</f>
        <v>Rio Branco</v>
      </c>
      <c r="D32" s="24" t="str">
        <f>IFERROR(__xludf.DUMMYFUNCTION("""COMPUTED_VALUE"""),"Edufac")</f>
        <v>Edufac</v>
      </c>
      <c r="E32" s="25">
        <f>IFERROR(__xludf.DUMMYFUNCTION("""COMPUTED_VALUE"""),2016.0)</f>
        <v>2016</v>
      </c>
      <c r="F32" s="24" t="str">
        <f>IFERROR(__xludf.DUMMYFUNCTION("""COMPUTED_VALUE"""),"Mulheres - psicologia; Violência contra mulheres; Política pública - mulheres")</f>
        <v>Mulheres - psicologia; Violência contra mulheres; Política pública - mulheres</v>
      </c>
      <c r="G32" s="28" t="str">
        <f>IFERROR(__xludf.DUMMYFUNCTION("""COMPUTED_VALUE"""),"9788582360194")</f>
        <v>9788582360194</v>
      </c>
      <c r="H32" s="29" t="str">
        <f>IFERROR(__xludf.DUMMYFUNCTION("""COMPUTED_VALUE"""),"http://www2.ufac.br/editora/livros/a-psicologia-na-politica-para-as-mulheres-em-situacao-de-violencia.pdf")</f>
        <v>http://www2.ufac.br/editora/livros/a-psicologia-na-politica-para-as-mulheres-em-situacao-de-violencia.pdf</v>
      </c>
      <c r="I32" s="24" t="str">
        <f>IFERROR(__xludf.DUMMYFUNCTION("""COMPUTED_VALUE"""),"Ciências Sociais Aplicadas")</f>
        <v>Ciências Sociais Aplicadas</v>
      </c>
    </row>
    <row r="33">
      <c r="A33" s="24" t="str">
        <f>IFERROR(__xludf.DUMMYFUNCTION("""COMPUTED_VALUE"""),"A razoável duração do processo como elemento de efetividade do direito humano fundamental de acesso à justiça. Uma leitura a partir da teoria dos direitos fundamentais de Robert Alexy")</f>
        <v>A razoável duração do processo como elemento de efetividade do direito humano fundamental de acesso à justiça. Uma leitura a partir da teoria dos direitos fundamentais de Robert Alexy</v>
      </c>
      <c r="B33" s="24" t="str">
        <f>IFERROR(__xludf.DUMMYFUNCTION("""COMPUTED_VALUE"""),"Jeison Francisco de Medeiros")</f>
        <v>Jeison Francisco de Medeiros</v>
      </c>
      <c r="C33" s="24" t="str">
        <f>IFERROR(__xludf.DUMMYFUNCTION("""COMPUTED_VALUE"""),"Joaçaba")</f>
        <v>Joaçaba</v>
      </c>
      <c r="D33" s="24" t="str">
        <f>IFERROR(__xludf.DUMMYFUNCTION("""COMPUTED_VALUE"""),"Unoesc")</f>
        <v>Unoesc</v>
      </c>
      <c r="E33" s="25">
        <f>IFERROR(__xludf.DUMMYFUNCTION("""COMPUTED_VALUE"""),2017.0)</f>
        <v>2017</v>
      </c>
      <c r="F33" s="24" t="str">
        <f>IFERROR(__xludf.DUMMYFUNCTION("""COMPUTED_VALUE"""),"Acesso à justiça, Princípio da razoável duração; do processo, Direitos fundamentais")</f>
        <v>Acesso à justiça, Princípio da razoável duração; do processo, Direitos fundamentais</v>
      </c>
      <c r="G33" s="28" t="str">
        <f>IFERROR(__xludf.DUMMYFUNCTION("""COMPUTED_VALUE"""),"9788584221110")</f>
        <v>9788584221110</v>
      </c>
      <c r="H33" s="29" t="str">
        <f>IFERROR(__xludf.DUMMYFUNCTION("""COMPUTED_VALUE"""),"https://www.unoesc.edu.br/images/uploads/editora/A_razoavel_duracao_do_processo_como_elemento_de.pdf")</f>
        <v>https://www.unoesc.edu.br/images/uploads/editora/A_razoavel_duracao_do_processo_como_elemento_de.pdf</v>
      </c>
      <c r="I33" s="24" t="str">
        <f>IFERROR(__xludf.DUMMYFUNCTION("""COMPUTED_VALUE"""),"Ciências Sociais Aplicadas")</f>
        <v>Ciências Sociais Aplicadas</v>
      </c>
    </row>
    <row r="34">
      <c r="A34" s="24" t="str">
        <f>IFERROR(__xludf.DUMMYFUNCTION("""COMPUTED_VALUE"""),"A releitura da teoria do fato jurídico para a construção do Direito: entre a passagem do andar sob o amarelo desértico ao andar sob a luz manifesta do céu")</f>
        <v>A releitura da teoria do fato jurídico para a construção do Direito: entre a passagem do andar sob o amarelo desértico ao andar sob a luz manifesta do céu</v>
      </c>
      <c r="B34" s="24" t="str">
        <f>IFERROR(__xludf.DUMMYFUNCTION("""COMPUTED_VALUE"""),"Vinícius Almada Mozetic, Paulo Junior Trindade dos Santos, Cristhian Magnus De Marco")</f>
        <v>Vinícius Almada Mozetic, Paulo Junior Trindade dos Santos, Cristhian Magnus De Marco</v>
      </c>
      <c r="C34" s="24" t="str">
        <f>IFERROR(__xludf.DUMMYFUNCTION("""COMPUTED_VALUE"""),"Joaçaba")</f>
        <v>Joaçaba</v>
      </c>
      <c r="D34" s="24" t="str">
        <f>IFERROR(__xludf.DUMMYFUNCTION("""COMPUTED_VALUE"""),"Unoesc")</f>
        <v>Unoesc</v>
      </c>
      <c r="E34" s="25">
        <f>IFERROR(__xludf.DUMMYFUNCTION("""COMPUTED_VALUE"""),2019.0)</f>
        <v>2019</v>
      </c>
      <c r="F34" s="24" t="str">
        <f>IFERROR(__xludf.DUMMYFUNCTION("""COMPUTED_VALUE"""),"Direito e fato, Hermenêutica (Direito)")</f>
        <v>Direito e fato, Hermenêutica (Direito)</v>
      </c>
      <c r="G34" s="28" t="str">
        <f>IFERROR(__xludf.DUMMYFUNCTION("""COMPUTED_VALUE"""),"9788584222025")</f>
        <v>9788584222025</v>
      </c>
      <c r="H34" s="29" t="str">
        <f>IFERROR(__xludf.DUMMYFUNCTION("""COMPUTED_VALUE"""),"https://www.unoesc.edu.br/images/uploads/editora/A_releitura_da_Teoria.pdf")</f>
        <v>https://www.unoesc.edu.br/images/uploads/editora/A_releitura_da_Teoria.pdf</v>
      </c>
      <c r="I34" s="24" t="str">
        <f>IFERROR(__xludf.DUMMYFUNCTION("""COMPUTED_VALUE"""),"Ciências Sociais Aplicadas")</f>
        <v>Ciências Sociais Aplicadas</v>
      </c>
    </row>
    <row r="35">
      <c r="A35" s="24" t="str">
        <f>IFERROR(__xludf.DUMMYFUNCTION("""COMPUTED_VALUE"""),"A responsabilidade civil do advogado sob a perspectiva civil-constitucional")</f>
        <v>A responsabilidade civil do advogado sob a perspectiva civil-constitucional</v>
      </c>
      <c r="B35" s="24" t="str">
        <f>IFERROR(__xludf.DUMMYFUNCTION("""COMPUTED_VALUE"""),"Thaita Campos Trevizan")</f>
        <v>Thaita Campos Trevizan</v>
      </c>
      <c r="C35" s="24" t="str">
        <f>IFERROR(__xludf.DUMMYFUNCTION("""COMPUTED_VALUE"""),"Vitória")</f>
        <v>Vitória</v>
      </c>
      <c r="D35" s="24" t="str">
        <f>IFERROR(__xludf.DUMMYFUNCTION("""COMPUTED_VALUE"""),"EDUFES")</f>
        <v>EDUFES</v>
      </c>
      <c r="E35" s="25">
        <f>IFERROR(__xludf.DUMMYFUNCTION("""COMPUTED_VALUE"""),2013.0)</f>
        <v>2013</v>
      </c>
      <c r="F35" s="24" t="str">
        <f>IFERROR(__xludf.DUMMYFUNCTION("""COMPUTED_VALUE"""),"Direito; Advocacia; Responsabilidade; Advogados")</f>
        <v>Direito; Advocacia; Responsabilidade; Advogados</v>
      </c>
      <c r="G35" s="28" t="str">
        <f>IFERROR(__xludf.DUMMYFUNCTION("""COMPUTED_VALUE"""),"9788577721740")</f>
        <v>9788577721740</v>
      </c>
      <c r="H35" s="29" t="str">
        <f>IFERROR(__xludf.DUMMYFUNCTION("""COMPUTED_VALUE"""),"http://repositorio.ufes.br/bitstream/10/1147/1/Livro%20edufes%20a%20responsabilidade%20civil%20do%20advogado%20sob%20a%20perspecitiva%20civil%20constitucional.pdf")</f>
        <v>http://repositorio.ufes.br/bitstream/10/1147/1/Livro%20edufes%20a%20responsabilidade%20civil%20do%20advogado%20sob%20a%20perspecitiva%20civil%20constitucional.pdf</v>
      </c>
      <c r="I35" s="24" t="str">
        <f>IFERROR(__xludf.DUMMYFUNCTION("""COMPUTED_VALUE"""),"Ciências Sociais Aplicadas")</f>
        <v>Ciências Sociais Aplicadas</v>
      </c>
    </row>
    <row r="36">
      <c r="A36" s="24" t="str">
        <f>IFERROR(__xludf.DUMMYFUNCTION("""COMPUTED_VALUE"""),"A responsabilidade civil do empregador no caso do dano decorrente de acidente do trabalho e o caráter punitivo e pedagógico da indenização por dano moral como mecanismo de proteção à dignidade humana")</f>
        <v>A responsabilidade civil do empregador no caso do dano decorrente de acidente do trabalho e o caráter punitivo e pedagógico da indenização por dano moral como mecanismo de proteção à dignidade humana</v>
      </c>
      <c r="B36" s="24" t="str">
        <f>IFERROR(__xludf.DUMMYFUNCTION("""COMPUTED_VALUE"""),"Elizabete Geremias")</f>
        <v>Elizabete Geremias</v>
      </c>
      <c r="C36" s="24" t="str">
        <f>IFERROR(__xludf.DUMMYFUNCTION("""COMPUTED_VALUE"""),"Joaçaba")</f>
        <v>Joaçaba</v>
      </c>
      <c r="D36" s="24" t="str">
        <f>IFERROR(__xludf.DUMMYFUNCTION("""COMPUTED_VALUE"""),"Unoesc")</f>
        <v>Unoesc</v>
      </c>
      <c r="E36" s="25">
        <f>IFERROR(__xludf.DUMMYFUNCTION("""COMPUTED_VALUE"""),2017.0)</f>
        <v>2017</v>
      </c>
      <c r="F36" s="24" t="str">
        <f>IFERROR(__xludf.DUMMYFUNCTION("""COMPUTED_VALUE"""),"Direitos fundamentais, Responsabilidade em; relação aos acidentes de trabalho, Dignidade")</f>
        <v>Direitos fundamentais, Responsabilidade em; relação aos acidentes de trabalho, Dignidade</v>
      </c>
      <c r="G36" s="28" t="str">
        <f>IFERROR(__xludf.DUMMYFUNCTION("""COMPUTED_VALUE"""),"9788584220991")</f>
        <v>9788584220991</v>
      </c>
      <c r="H36" s="29" t="str">
        <f>IFERROR(__xludf.DUMMYFUNCTION("""COMPUTED_VALUE"""),"https://www.unoesc.edu.br/images/uploads/editora/responsabilidade_civil_do_empregador.pdf")</f>
        <v>https://www.unoesc.edu.br/images/uploads/editora/responsabilidade_civil_do_empregador.pdf</v>
      </c>
      <c r="I36" s="24" t="str">
        <f>IFERROR(__xludf.DUMMYFUNCTION("""COMPUTED_VALUE"""),"Ciências Sociais Aplicadas")</f>
        <v>Ciências Sociais Aplicadas</v>
      </c>
    </row>
    <row r="37">
      <c r="A37" s="24" t="str">
        <f>IFERROR(__xludf.DUMMYFUNCTION("""COMPUTED_VALUE"""),"A restituição da contribuição previdenciária dos inativos: em razão de emenda inconstitucional")</f>
        <v>A restituição da contribuição previdenciária dos inativos: em razão de emenda inconstitucional</v>
      </c>
      <c r="B37" s="24" t="str">
        <f>IFERROR(__xludf.DUMMYFUNCTION("""COMPUTED_VALUE"""),"Carlos Valder do Nascimento")</f>
        <v>Carlos Valder do Nascimento</v>
      </c>
      <c r="C37" s="24" t="str">
        <f>IFERROR(__xludf.DUMMYFUNCTION("""COMPUTED_VALUE"""),"Ilhéus, BA")</f>
        <v>Ilhéus, BA</v>
      </c>
      <c r="D37" s="24" t="str">
        <f>IFERROR(__xludf.DUMMYFUNCTION("""COMPUTED_VALUE"""),"Editus")</f>
        <v>Editus</v>
      </c>
      <c r="E37" s="25">
        <f>IFERROR(__xludf.DUMMYFUNCTION("""COMPUTED_VALUE"""),2013.0)</f>
        <v>2013</v>
      </c>
      <c r="F37" s="24" t="str">
        <f>IFERROR(__xludf.DUMMYFUNCTION("""COMPUTED_VALUE"""),"Contribuição previdenciária – Servidor público; Previdência Social; Aposentados - Contribuição; Previdenciária")</f>
        <v>Contribuição previdenciária – Servidor público; Previdência Social; Aposentados - Contribuição; Previdenciária</v>
      </c>
      <c r="G37" s="28" t="str">
        <f>IFERROR(__xludf.DUMMYFUNCTION("""COMPUTED_VALUE"""),"9788574553269")</f>
        <v>9788574553269</v>
      </c>
      <c r="H37" s="29" t="str">
        <f>IFERROR(__xludf.DUMMYFUNCTION("""COMPUTED_VALUE"""),"http://www.uesc.br/editora/livrosdigitais2017/a_restituicao_contribuicao_previdenciaria_dos_inativos.pdf")</f>
        <v>http://www.uesc.br/editora/livrosdigitais2017/a_restituicao_contribuicao_previdenciaria_dos_inativos.pdf</v>
      </c>
      <c r="I37" s="24" t="str">
        <f>IFERROR(__xludf.DUMMYFUNCTION("""COMPUTED_VALUE"""),"Ciências Sociais Aplicadas")</f>
        <v>Ciências Sociais Aplicadas</v>
      </c>
    </row>
    <row r="38">
      <c r="A38" s="24" t="str">
        <f>IFERROR(__xludf.DUMMYFUNCTION("""COMPUTED_VALUE"""),"A segurança pública como direito fundamental social na sociedade de riscos: qual a função do direito penal?")</f>
        <v>A segurança pública como direito fundamental social na sociedade de riscos: qual a função do direito penal?</v>
      </c>
      <c r="B38" s="24" t="str">
        <f>IFERROR(__xludf.DUMMYFUNCTION("""COMPUTED_VALUE"""),"Rogério Gesta Leal, Volnete Gilioli")</f>
        <v>Rogério Gesta Leal, Volnete Gilioli</v>
      </c>
      <c r="C38" s="24" t="str">
        <f>IFERROR(__xludf.DUMMYFUNCTION("""COMPUTED_VALUE"""),"Joaçaba")</f>
        <v>Joaçaba</v>
      </c>
      <c r="D38" s="24" t="str">
        <f>IFERROR(__xludf.DUMMYFUNCTION("""COMPUTED_VALUE"""),"Unoesc")</f>
        <v>Unoesc</v>
      </c>
      <c r="E38" s="25">
        <f>IFERROR(__xludf.DUMMYFUNCTION("""COMPUTED_VALUE"""),2018.0)</f>
        <v>2018</v>
      </c>
      <c r="F38" s="24" t="str">
        <f>IFERROR(__xludf.DUMMYFUNCTION("""COMPUTED_VALUE"""),"Direito fundamental, Segurança pública,; Políticas públicas")</f>
        <v>Direito fundamental, Segurança pública,; Políticas públicas</v>
      </c>
      <c r="G38" s="28" t="str">
        <f>IFERROR(__xludf.DUMMYFUNCTION("""COMPUTED_VALUE"""),"9788584221721")</f>
        <v>9788584221721</v>
      </c>
      <c r="H38" s="29" t="str">
        <f>IFERROR(__xludf.DUMMYFUNCTION("""COMPUTED_VALUE"""),"https://www.unoesc.edu.br/images/uploads/editora/Miolo2.pdf")</f>
        <v>https://www.unoesc.edu.br/images/uploads/editora/Miolo2.pdf</v>
      </c>
      <c r="I38" s="24" t="str">
        <f>IFERROR(__xludf.DUMMYFUNCTION("""COMPUTED_VALUE"""),"Ciências Sociais Aplicadas")</f>
        <v>Ciências Sociais Aplicadas</v>
      </c>
    </row>
    <row r="39">
      <c r="A39" s="24" t="str">
        <f>IFERROR(__xludf.DUMMYFUNCTION("""COMPUTED_VALUE"""),"Abordagens para a criação de valor na inovação")</f>
        <v>Abordagens para a criação de valor na inovação</v>
      </c>
      <c r="B39" s="24" t="str">
        <f>IFERROR(__xludf.DUMMYFUNCTION("""COMPUTED_VALUE"""),"Echeveste, Marcia Elisa Soares; Kulpa, Cínthia Costa; Sonego, Monique ")</f>
        <v>Echeveste, Marcia Elisa Soares; Kulpa, Cínthia Costa; Sonego, Monique </v>
      </c>
      <c r="C39" s="24" t="str">
        <f>IFERROR(__xludf.DUMMYFUNCTION("""COMPUTED_VALUE"""),"Porto Alegre")</f>
        <v>Porto Alegre</v>
      </c>
      <c r="D39" s="24" t="str">
        <f>IFERROR(__xludf.DUMMYFUNCTION("""COMPUTED_VALUE"""),"UFRGS")</f>
        <v>UFRGS</v>
      </c>
      <c r="E39" s="25">
        <f>IFERROR(__xludf.DUMMYFUNCTION("""COMPUTED_VALUE"""),2020.0)</f>
        <v>2020</v>
      </c>
      <c r="F39" s="24" t="str">
        <f>IFERROR(__xludf.DUMMYFUNCTION("""COMPUTED_VALUE"""),"Design; Gestão; Inovação")</f>
        <v>Design; Gestão; Inovação</v>
      </c>
      <c r="G39" s="28" t="str">
        <f>IFERROR(__xludf.DUMMYFUNCTION("""COMPUTED_VALUE"""),"9788538605164 (pdf) 9788538605171 (epub)")</f>
        <v>9788538605164 (pdf) 9788538605171 (epub)</v>
      </c>
      <c r="H39" s="29" t="str">
        <f>IFERROR(__xludf.DUMMYFUNCTION("""COMPUTED_VALUE"""),"http://hdl.handle.net/10183/206642")</f>
        <v>http://hdl.handle.net/10183/206642</v>
      </c>
      <c r="I39" s="24" t="str">
        <f>IFERROR(__xludf.DUMMYFUNCTION("""COMPUTED_VALUE"""),"Ciências Sociais Aplicadas")</f>
        <v>Ciências Sociais Aplicadas</v>
      </c>
    </row>
    <row r="40">
      <c r="A40" s="24" t="str">
        <f>IFERROR(__xludf.DUMMYFUNCTION("""COMPUTED_VALUE"""),"Ações extensionistas e o diálogo com as comunidades Contemporâneas.")</f>
        <v>Ações extensionistas e o diálogo com as comunidades Contemporâneas.</v>
      </c>
      <c r="B40" s="24" t="str">
        <f>IFERROR(__xludf.DUMMYFUNCTION("""COMPUTED_VALUE"""),"Michelon, Francisca Ferreira; Hoffmann, Carmen Anita; Allemand, Débora Souto; Lessa, Helena Thofehrn; Lopes, Sarah Leão; Manzke, Sabrina Marques; Rocha, Beliza Gonzales; Coutinho, Ludmila de Lima; Jesus, Thiago Silva de Amorim; Luiz, Marina Borges; Santos"&amp;", Mateus Casanova dos; Rosendo, Aline Alves; Blank, Frederico da Rosa; Moreira, Lais Vaz; Leal, Noris Mara Pacheco Martins; Iturriet, Victor Braz; Santos, Isabel da Cunha; Fouchy, Marina Vieira; Centeno, Laura dos Santos; Borges, Caroline Dellinghausen; M"&amp;"endonça, Carla Rosane Barboza; Araujo, Mélory Maria Fernandes de; Dall’Agnol, Ana Luiza Bertani; Leandro, Diuliana; Quadro, Maurizio Silveira; Castro, Andrea Souza; Cardoso, Paula Fernanda Eick; Oliveira, Stefanie Griebeler; Cordeiro, Franciele Roberta; D"&amp;"ias, Letícia Valente; Dellalibera, Lucas Silva; Mello, Fernanda Eisenhardt de; Lourenço, Vitor Alves; Nadaleti, Willian Cézar; Vieira, Bruno Muller; Corrêa, Érico Kunde; Santos, Renan de Freitas")</f>
        <v>Michelon, Francisca Ferreira; Hoffmann, Carmen Anita; Allemand, Débora Souto; Lessa, Helena Thofehrn; Lopes, Sarah Leão; Manzke, Sabrina Marques; Rocha, Beliza Gonzales; Coutinho, Ludmila de Lima; Jesus, Thiago Silva de Amorim; Luiz, Marina Borges; Santos, Mateus Casanova dos; Rosendo, Aline Alves; Blank, Frederico da Rosa; Moreira, Lais Vaz; Leal, Noris Mara Pacheco Martins; Iturriet, Victor Braz; Santos, Isabel da Cunha; Fouchy, Marina Vieira; Centeno, Laura dos Santos; Borges, Caroline Dellinghausen; Mendonça, Carla Rosane Barboza; Araujo, Mélory Maria Fernandes de; Dall’Agnol, Ana Luiza Bertani; Leandro, Diuliana; Quadro, Maurizio Silveira; Castro, Andrea Souza; Cardoso, Paula Fernanda Eick; Oliveira, Stefanie Griebeler; Cordeiro, Franciele Roberta; Dias, Letícia Valente; Dellalibera, Lucas Silva; Mello, Fernanda Eisenhardt de; Lourenço, Vitor Alves; Nadaleti, Willian Cézar; Vieira, Bruno Muller; Corrêa, Érico Kunde; Santos, Renan de Freitas</v>
      </c>
      <c r="C40" s="24" t="str">
        <f>IFERROR(__xludf.DUMMYFUNCTION("""COMPUTED_VALUE"""),"Pelotas")</f>
        <v>Pelotas</v>
      </c>
      <c r="D40" s="24" t="str">
        <f>IFERROR(__xludf.DUMMYFUNCTION("""COMPUTED_VALUE"""),"UFPel")</f>
        <v>UFPel</v>
      </c>
      <c r="E40" s="25">
        <f>IFERROR(__xludf.DUMMYFUNCTION("""COMPUTED_VALUE"""),2019.0)</f>
        <v>2019</v>
      </c>
      <c r="F40" s="24" t="str">
        <f>IFERROR(__xludf.DUMMYFUNCTION("""COMPUTED_VALUE"""),"Sociedade; Saúde; Educação; Cultura; Meio ambiente; Projetos extensão")</f>
        <v>Sociedade; Saúde; Educação; Cultura; Meio ambiente; Projetos extensão</v>
      </c>
      <c r="G40" s="28" t="str">
        <f>IFERROR(__xludf.DUMMYFUNCTION("""COMPUTED_VALUE"""),"9788571929494")</f>
        <v>9788571929494</v>
      </c>
      <c r="H40" s="29" t="str">
        <f>IFERROR(__xludf.DUMMYFUNCTION("""COMPUTED_VALUE"""),"http://guaiaca.ufpel.edu.br:8080/bitstream/prefix/4458/1/cole%c3%a7%c3%a3o%20extens%c3%a4o%20e%20sociedade%20n2.pdf")</f>
        <v>http://guaiaca.ufpel.edu.br:8080/bitstream/prefix/4458/1/cole%c3%a7%c3%a3o%20extens%c3%a4o%20e%20sociedade%20n2.pdf</v>
      </c>
      <c r="I40" s="24" t="str">
        <f>IFERROR(__xludf.DUMMYFUNCTION("""COMPUTED_VALUE"""),"Ciências Sociais Aplicadas")</f>
        <v>Ciências Sociais Aplicadas</v>
      </c>
    </row>
    <row r="41">
      <c r="A41" s="24" t="str">
        <f>IFERROR(__xludf.DUMMYFUNCTION("""COMPUTED_VALUE"""),"Adequação do sistema tributário nacional à ordem econômica e social: uma proposta de reforma tributária")</f>
        <v>Adequação do sistema tributário nacional à ordem econômica e social: uma proposta de reforma tributária</v>
      </c>
      <c r="B41" s="24" t="str">
        <f>IFERROR(__xludf.DUMMYFUNCTION("""COMPUTED_VALUE"""),"Carlos Valder do Nascimento")</f>
        <v>Carlos Valder do Nascimento</v>
      </c>
      <c r="C41" s="24" t="str">
        <f>IFERROR(__xludf.DUMMYFUNCTION("""COMPUTED_VALUE"""),"Ilhéus, BA")</f>
        <v>Ilhéus, BA</v>
      </c>
      <c r="D41" s="24" t="str">
        <f>IFERROR(__xludf.DUMMYFUNCTION("""COMPUTED_VALUE"""),"Editus")</f>
        <v>Editus</v>
      </c>
      <c r="E41" s="25">
        <f>IFERROR(__xludf.DUMMYFUNCTION("""COMPUTED_VALUE"""),2017.0)</f>
        <v>2017</v>
      </c>
      <c r="F41" s="24" t="str">
        <f>IFERROR(__xludf.DUMMYFUNCTION("""COMPUTED_VALUE"""),"Direito tributário – Brasil; Reforma tributária")</f>
        <v>Direito tributário – Brasil; Reforma tributária</v>
      </c>
      <c r="G41" s="28" t="str">
        <f>IFERROR(__xludf.DUMMYFUNCTION("""COMPUTED_VALUE"""),"9788574554334")</f>
        <v>9788574554334</v>
      </c>
      <c r="H41" s="29" t="str">
        <f>IFERROR(__xludf.DUMMYFUNCTION("""COMPUTED_VALUE"""),"http://www.uesc.br/editora/livrosdigitais2017/adequacao_sistema_tributario.pdf")</f>
        <v>http://www.uesc.br/editora/livrosdigitais2017/adequacao_sistema_tributario.pdf</v>
      </c>
      <c r="I41" s="24" t="str">
        <f>IFERROR(__xludf.DUMMYFUNCTION("""COMPUTED_VALUE"""),"Ciências Sociais Aplicadas")</f>
        <v>Ciências Sociais Aplicadas</v>
      </c>
    </row>
    <row r="42">
      <c r="A42" s="24" t="str">
        <f>IFERROR(__xludf.DUMMYFUNCTION("""COMPUTED_VALUE"""),"Administração pública contemporânea: política, democracia e gestão")</f>
        <v>Administração pública contemporânea: política, democracia e gestão</v>
      </c>
      <c r="B42" s="24" t="str">
        <f>IFERROR(__xludf.DUMMYFUNCTION("""COMPUTED_VALUE"""),"Marcos Tanure Sanabio, Gilmar José dos Santos,; Marcus Vinicius David")</f>
        <v>Marcos Tanure Sanabio, Gilmar José dos Santos,; Marcus Vinicius David</v>
      </c>
      <c r="C42" s="24" t="str">
        <f>IFERROR(__xludf.DUMMYFUNCTION("""COMPUTED_VALUE"""),"Juiz de Fora")</f>
        <v>Juiz de Fora</v>
      </c>
      <c r="D42" s="24" t="str">
        <f>IFERROR(__xludf.DUMMYFUNCTION("""COMPUTED_VALUE"""),"Editora UFJF")</f>
        <v>Editora UFJF</v>
      </c>
      <c r="E42" s="25">
        <f>IFERROR(__xludf.DUMMYFUNCTION("""COMPUTED_VALUE"""),2013.0)</f>
        <v>2013</v>
      </c>
      <c r="F42" s="24" t="str">
        <f>IFERROR(__xludf.DUMMYFUNCTION("""COMPUTED_VALUE"""),"Administração pública, Administração pública - Modelos, Interesse público")</f>
        <v>Administração pública, Administração pública - Modelos, Interesse público</v>
      </c>
      <c r="G42" s="28" t="str">
        <f>IFERROR(__xludf.DUMMYFUNCTION("""COMPUTED_VALUE"""),"9788576721666")</f>
        <v>9788576721666</v>
      </c>
      <c r="H42" s="29" t="str">
        <f>IFERROR(__xludf.DUMMYFUNCTION("""COMPUTED_VALUE"""),"https://www.ufjf.br/virgilio_oliveira/files/2014/10/Texto-s%c3%adntese-Oliveira-2013.pdf")</f>
        <v>https://www.ufjf.br/virgilio_oliveira/files/2014/10/Texto-s%c3%adntese-Oliveira-2013.pdf</v>
      </c>
      <c r="I42" s="24" t="str">
        <f>IFERROR(__xludf.DUMMYFUNCTION("""COMPUTED_VALUE"""),"Ciências Sociais Aplicadas")</f>
        <v>Ciências Sociais Aplicadas</v>
      </c>
    </row>
    <row r="43">
      <c r="A43" s="24" t="str">
        <f>IFERROR(__xludf.DUMMYFUNCTION("""COMPUTED_VALUE"""),"Administração pública, novas tecnologias e desenvolvimento: a efetivação de direitos fundamentais sociais em uma sociedade de risco")</f>
        <v>Administração pública, novas tecnologias e desenvolvimento: a efetivação de direitos fundamentais sociais em uma sociedade de risco</v>
      </c>
      <c r="B43" s="24" t="str">
        <f>IFERROR(__xludf.DUMMYFUNCTION("""COMPUTED_VALUE"""),"Yuri Schneide")</f>
        <v>Yuri Schneide</v>
      </c>
      <c r="C43" s="24" t="str">
        <f>IFERROR(__xludf.DUMMYFUNCTION("""COMPUTED_VALUE"""),"Joaçaba")</f>
        <v>Joaçaba</v>
      </c>
      <c r="D43" s="24" t="str">
        <f>IFERROR(__xludf.DUMMYFUNCTION("""COMPUTED_VALUE"""),"Unoesc")</f>
        <v>Unoesc</v>
      </c>
      <c r="E43" s="25">
        <f>IFERROR(__xludf.DUMMYFUNCTION("""COMPUTED_VALUE"""),2017.0)</f>
        <v>2017</v>
      </c>
      <c r="F43" s="24" t="str">
        <f>IFERROR(__xludf.DUMMYFUNCTION("""COMPUTED_VALUE"""),"Direitos fundamentais, Administração pública,; Desenvolvimento regional")</f>
        <v>Direitos fundamentais, Administração pública,; Desenvolvimento regional</v>
      </c>
      <c r="G43" s="28" t="str">
        <f>IFERROR(__xludf.DUMMYFUNCTION("""COMPUTED_VALUE"""),"9788584221493")</f>
        <v>9788584221493</v>
      </c>
      <c r="H43" s="29" t="str">
        <f>IFERROR(__xludf.DUMMYFUNCTION("""COMPUTED_VALUE"""),"https://www.unoesc.edu.br/images/uploads/editora/Livro_Administra%c3%a7%c3%a3o_P%c3%bablica.pdf")</f>
        <v>https://www.unoesc.edu.br/images/uploads/editora/Livro_Administra%c3%a7%c3%a3o_P%c3%bablica.pdf</v>
      </c>
      <c r="I43" s="24" t="str">
        <f>IFERROR(__xludf.DUMMYFUNCTION("""COMPUTED_VALUE"""),"Ciências Sociais Aplicadas")</f>
        <v>Ciências Sociais Aplicadas</v>
      </c>
    </row>
    <row r="44">
      <c r="A44" s="24" t="str">
        <f>IFERROR(__xludf.DUMMYFUNCTION("""COMPUTED_VALUE"""),"Administração: princípios teóricos e práticos")</f>
        <v>Administração: princípios teóricos e práticos</v>
      </c>
      <c r="B44" s="24" t="str">
        <f>IFERROR(__xludf.DUMMYFUNCTION("""COMPUTED_VALUE"""),"Gilmar José dos Santos, Marcos Tanure Sanabio")</f>
        <v>Gilmar José dos Santos, Marcos Tanure Sanabio</v>
      </c>
      <c r="C44" s="24" t="str">
        <f>IFERROR(__xludf.DUMMYFUNCTION("""COMPUTED_VALUE"""),"Juiz de Fora")</f>
        <v>Juiz de Fora</v>
      </c>
      <c r="D44" s="24" t="str">
        <f>IFERROR(__xludf.DUMMYFUNCTION("""COMPUTED_VALUE"""),"Editora UFJF")</f>
        <v>Editora UFJF</v>
      </c>
      <c r="E44" s="25">
        <f>IFERROR(__xludf.DUMMYFUNCTION("""COMPUTED_VALUE"""),2013.0)</f>
        <v>2013</v>
      </c>
      <c r="F44" s="24" t="str">
        <f>IFERROR(__xludf.DUMMYFUNCTION("""COMPUTED_VALUE"""),"Administração, Administração - Teoria")</f>
        <v>Administração, Administração - Teoria</v>
      </c>
      <c r="G44" s="28" t="str">
        <f>IFERROR(__xludf.DUMMYFUNCTION("""COMPUTED_VALUE"""),"9788576721826")</f>
        <v>9788576721826</v>
      </c>
      <c r="H44" s="29" t="str">
        <f>IFERROR(__xludf.DUMMYFUNCTION("""COMPUTED_VALUE"""),"http://www2.ufjf.br/editora/wp-content/uploads/sites/113/2018/02/administracao_principios_teoricos_e_praticos.pdf")</f>
        <v>http://www2.ufjf.br/editora/wp-content/uploads/sites/113/2018/02/administracao_principios_teoricos_e_praticos.pdf</v>
      </c>
      <c r="I44" s="24" t="str">
        <f>IFERROR(__xludf.DUMMYFUNCTION("""COMPUTED_VALUE"""),"Ciências Sociais Aplicadas")</f>
        <v>Ciências Sociais Aplicadas</v>
      </c>
    </row>
    <row r="45">
      <c r="A45" s="24" t="str">
        <f>IFERROR(__xludf.DUMMYFUNCTION("""COMPUTED_VALUE"""),"Agências reguladoras: uma promessa não realizada contra o risco da captura")</f>
        <v>Agências reguladoras: uma promessa não realizada contra o risco da captura</v>
      </c>
      <c r="B45" s="24" t="str">
        <f>IFERROR(__xludf.DUMMYFUNCTION("""COMPUTED_VALUE"""),"Luiz Guedes da Luz Neto")</f>
        <v>Luiz Guedes da Luz Neto</v>
      </c>
      <c r="C45" s="24" t="str">
        <f>IFERROR(__xludf.DUMMYFUNCTION("""COMPUTED_VALUE"""),"Campina Grande")</f>
        <v>Campina Grande</v>
      </c>
      <c r="D45" s="24" t="str">
        <f>IFERROR(__xludf.DUMMYFUNCTION("""COMPUTED_VALUE"""),"EDUEPB")</f>
        <v>EDUEPB</v>
      </c>
      <c r="E45" s="25">
        <f>IFERROR(__xludf.DUMMYFUNCTION("""COMPUTED_VALUE"""),2018.0)</f>
        <v>2018</v>
      </c>
      <c r="F45" s="24" t="str">
        <f>IFERROR(__xludf.DUMMYFUNCTION("""COMPUTED_VALUE"""),"Agências reguladoras. Direito Econômico. Administração Pública. Estado regulador. Regulação Setorial")</f>
        <v>Agências reguladoras. Direito Econômico. Administração Pública. Estado regulador. Regulação Setorial</v>
      </c>
      <c r="G45" s="28" t="str">
        <f>IFERROR(__xludf.DUMMYFUNCTION("""COMPUTED_VALUE"""),"9788578794347")</f>
        <v>9788578794347</v>
      </c>
      <c r="H45" s="29" t="str">
        <f>IFERROR(__xludf.DUMMYFUNCTION("""COMPUTED_VALUE"""),"http://eduepb.uepb.edu.br/download/age%cc%82ncias-reguladoras-uma-promessa-nao-realizada-contra-o-risco-da-captura/?wpdmdl=415&amp;amp;masterkey=5b3e255e5219a")</f>
        <v>http://eduepb.uepb.edu.br/download/age%cc%82ncias-reguladoras-uma-promessa-nao-realizada-contra-o-risco-da-captura/?wpdmdl=415&amp;amp;masterkey=5b3e255e5219a</v>
      </c>
      <c r="I45" s="24" t="str">
        <f>IFERROR(__xludf.DUMMYFUNCTION("""COMPUTED_VALUE"""),"Ciências Sociais Aplicadas")</f>
        <v>Ciências Sociais Aplicadas</v>
      </c>
    </row>
    <row r="46">
      <c r="A46" s="24" t="str">
        <f>IFERROR(__xludf.DUMMYFUNCTION("""COMPUTED_VALUE"""),"Água e Democracia na América Latina")</f>
        <v>Água e Democracia na América Latina</v>
      </c>
      <c r="B46" s="24" t="str">
        <f>IFERROR(__xludf.DUMMYFUNCTION("""COMPUTED_VALUE"""),"José Esteban Castro")</f>
        <v>José Esteban Castro</v>
      </c>
      <c r="C46" s="24" t="str">
        <f>IFERROR(__xludf.DUMMYFUNCTION("""COMPUTED_VALUE"""),"Campina Grande")</f>
        <v>Campina Grande</v>
      </c>
      <c r="D46" s="24" t="str">
        <f>IFERROR(__xludf.DUMMYFUNCTION("""COMPUTED_VALUE"""),"EDUEPB")</f>
        <v>EDUEPB</v>
      </c>
      <c r="E46" s="25">
        <f>IFERROR(__xludf.DUMMYFUNCTION("""COMPUTED_VALUE"""),2016.0)</f>
        <v>2016</v>
      </c>
      <c r="F46" s="24" t="str">
        <f>IFERROR(__xludf.DUMMYFUNCTION("""COMPUTED_VALUE"""),"Água. Democracia. América Latina. Democratização. Elementos da Natureza")</f>
        <v>Água. Democracia. América Latina. Democratização. Elementos da Natureza</v>
      </c>
      <c r="G46" s="28" t="str">
        <f>IFERROR(__xludf.DUMMYFUNCTION("""COMPUTED_VALUE"""),"9788578792282")</f>
        <v>9788578792282</v>
      </c>
      <c r="H46" s="29" t="str">
        <f>IFERROR(__xludf.DUMMYFUNCTION("""COMPUTED_VALUE"""),"http://eduepb.uepb.edu.br/download/agua-e-democracia-na-america-latina/?wpdmdl=159&amp;amp;masterkey=5af99556e52a8")</f>
        <v>http://eduepb.uepb.edu.br/download/agua-e-democracia-na-america-latina/?wpdmdl=159&amp;amp;masterkey=5af99556e52a8</v>
      </c>
      <c r="I46" s="24" t="str">
        <f>IFERROR(__xludf.DUMMYFUNCTION("""COMPUTED_VALUE"""),"Ciências Sociais Aplicadas")</f>
        <v>Ciências Sociais Aplicadas</v>
      </c>
    </row>
    <row r="47">
      <c r="A47" s="24" t="str">
        <f>IFERROR(__xludf.DUMMYFUNCTION("""COMPUTED_VALUE"""),"Ambiências Comunicacionais")</f>
        <v>Ambiências Comunicacionais</v>
      </c>
      <c r="B47" s="24" t="str">
        <f>IFERROR(__xludf.DUMMYFUNCTION("""COMPUTED_VALUE"""),"Juciano de Sousa Lacerda")</f>
        <v>Juciano de Sousa Lacerda</v>
      </c>
      <c r="C47" s="24" t="str">
        <f>IFERROR(__xludf.DUMMYFUNCTION("""COMPUTED_VALUE"""),"Campina Grande")</f>
        <v>Campina Grande</v>
      </c>
      <c r="D47" s="24" t="str">
        <f>IFERROR(__xludf.DUMMYFUNCTION("""COMPUTED_VALUE"""),"EDUEPB")</f>
        <v>EDUEPB</v>
      </c>
      <c r="E47" s="25">
        <f>IFERROR(__xludf.DUMMYFUNCTION("""COMPUTED_VALUE"""),2016.0)</f>
        <v>2016</v>
      </c>
      <c r="F47" s="24" t="str">
        <f>IFERROR(__xludf.DUMMYFUNCTION("""COMPUTED_VALUE"""),"Midiatização digital. Telecentros. Inclusão digital. Processos socioculturais. Conhecimento em comunicação. Processos comunicacionais")</f>
        <v>Midiatização digital. Telecentros. Inclusão digital. Processos socioculturais. Conhecimento em comunicação. Processos comunicacionais</v>
      </c>
      <c r="G47" s="28" t="str">
        <f>IFERROR(__xludf.DUMMYFUNCTION("""COMPUTED_VALUE"""),"9788578793449")</f>
        <v>9788578793449</v>
      </c>
      <c r="H47" s="29" t="str">
        <f>IFERROR(__xludf.DUMMYFUNCTION("""COMPUTED_VALUE"""),"http://eduepb.uepb.edu.br/download/ambiencias-comunicacionais/?wpdmdl=160&amp;amp;masterkey=5af995decfeaf")</f>
        <v>http://eduepb.uepb.edu.br/download/ambiencias-comunicacionais/?wpdmdl=160&amp;amp;masterkey=5af995decfeaf</v>
      </c>
      <c r="I47" s="24" t="str">
        <f>IFERROR(__xludf.DUMMYFUNCTION("""COMPUTED_VALUE"""),"Ciências Sociais Aplicadas")</f>
        <v>Ciências Sociais Aplicadas</v>
      </c>
    </row>
    <row r="48">
      <c r="A48" s="24" t="str">
        <f>IFERROR(__xludf.DUMMYFUNCTION("""COMPUTED_VALUE"""),"Ambiências comunicacionais e vivências midiáticas digitais de internautas em telecentros de acesso público")</f>
        <v>Ambiências comunicacionais e vivências midiáticas digitais de internautas em telecentros de acesso público</v>
      </c>
      <c r="B48" s="24" t="str">
        <f>IFERROR(__xludf.DUMMYFUNCTION("""COMPUTED_VALUE"""),"Juciano de Sousa Lacerda")</f>
        <v>Juciano de Sousa Lacerda</v>
      </c>
      <c r="C48" s="24" t="str">
        <f>IFERROR(__xludf.DUMMYFUNCTION("""COMPUTED_VALUE"""),"João Pessoa")</f>
        <v>João Pessoa</v>
      </c>
      <c r="D48" s="24" t="str">
        <f>IFERROR(__xludf.DUMMYFUNCTION("""COMPUTED_VALUE"""),"Editora IFPB")</f>
        <v>Editora IFPB</v>
      </c>
      <c r="E48" s="25">
        <f>IFERROR(__xludf.DUMMYFUNCTION("""COMPUTED_VALUE"""),2016.0)</f>
        <v>2016</v>
      </c>
      <c r="F48" s="24" t="str">
        <f>IFERROR(__xludf.DUMMYFUNCTION("""COMPUTED_VALUE"""),"Midiatização digital; Telecentros; Inclusão digital; Processos socioculturais; Conhecimento em comunicação")</f>
        <v>Midiatização digital; Telecentros; Inclusão digital; Processos socioculturais; Conhecimento em comunicação</v>
      </c>
      <c r="G48" s="28" t="str">
        <f>IFERROR(__xludf.DUMMYFUNCTION("""COMPUTED_VALUE"""),"9788578793449")</f>
        <v>9788578793449</v>
      </c>
      <c r="H48" s="29" t="str">
        <f>IFERROR(__xludf.DUMMYFUNCTION("""COMPUTED_VALUE"""),"http://editora.ifpb.edu.br/index.php/ifpb/catalog/book/31")</f>
        <v>http://editora.ifpb.edu.br/index.php/ifpb/catalog/book/31</v>
      </c>
      <c r="I48" s="24" t="str">
        <f>IFERROR(__xludf.DUMMYFUNCTION("""COMPUTED_VALUE"""),"Ciências Sociais Aplicadas")</f>
        <v>Ciências Sociais Aplicadas</v>
      </c>
    </row>
    <row r="49">
      <c r="A49" s="24" t="str">
        <f>IFERROR(__xludf.DUMMYFUNCTION("""COMPUTED_VALUE"""),"America Latina em Foco")</f>
        <v>America Latina em Foco</v>
      </c>
      <c r="B49" s="24" t="str">
        <f>IFERROR(__xludf.DUMMYFUNCTION("""COMPUTED_VALUE"""),"Fernando Joaquim Ferreira Maia e Belinda Pereira Cunha (org.)")</f>
        <v>Fernando Joaquim Ferreira Maia e Belinda Pereira Cunha (org.)</v>
      </c>
      <c r="C49" s="24" t="str">
        <f>IFERROR(__xludf.DUMMYFUNCTION("""COMPUTED_VALUE"""),"Recife")</f>
        <v>Recife</v>
      </c>
      <c r="D49" s="24" t="str">
        <f>IFERROR(__xludf.DUMMYFUNCTION("""COMPUTED_VALUE"""),"Editora Universitária da UFRPE")</f>
        <v>Editora Universitária da UFRPE</v>
      </c>
      <c r="E49" s="25">
        <f>IFERROR(__xludf.DUMMYFUNCTION("""COMPUTED_VALUE"""),2018.0)</f>
        <v>2018</v>
      </c>
      <c r="F49" s="24" t="str">
        <f>IFERROR(__xludf.DUMMYFUNCTION("""COMPUTED_VALUE"""),"Natureza; Direito sócio-ambiental; Meio-ambiente")</f>
        <v>Natureza; Direito sócio-ambiental; Meio-ambiente</v>
      </c>
      <c r="G49" s="28" t="str">
        <f>IFERROR(__xludf.DUMMYFUNCTION("""COMPUTED_VALUE"""),"9788579463204")</f>
        <v>9788579463204</v>
      </c>
      <c r="H49" s="29" t="str">
        <f>IFERROR(__xludf.DUMMYFUNCTION("""COMPUTED_VALUE"""),"https://www.dropbox.com/s/44k1c73m7j78cor/Livro_America_Latina_em_Foco_Ebook.pdf?dl=0")</f>
        <v>https://www.dropbox.com/s/44k1c73m7j78cor/Livro_America_Latina_em_Foco_Ebook.pdf?dl=0</v>
      </c>
      <c r="I49" s="24" t="str">
        <f>IFERROR(__xludf.DUMMYFUNCTION("""COMPUTED_VALUE"""),"Ciências Sociais Aplicadas")</f>
        <v>Ciências Sociais Aplicadas</v>
      </c>
    </row>
    <row r="50">
      <c r="A50" s="24" t="str">
        <f>IFERROR(__xludf.DUMMYFUNCTION("""COMPUTED_VALUE"""),"Anais da Semana de Formação Acadêmica e Científica e Cultura e Humanística e...")</f>
        <v>Anais da Semana de Formação Acadêmica e Científica e Cultura e Humanística e...</v>
      </c>
      <c r="B50" s="24" t="str">
        <f>IFERROR(__xludf.DUMMYFUNCTION("""COMPUTED_VALUE"""),"Adriana Neves Dias")</f>
        <v>Adriana Neves Dias</v>
      </c>
      <c r="C50" s="24" t="str">
        <f>IFERROR(__xludf.DUMMYFUNCTION("""COMPUTED_VALUE"""),"Blumenau")</f>
        <v>Blumenau</v>
      </c>
      <c r="D50" s="24" t="str">
        <f>IFERROR(__xludf.DUMMYFUNCTION("""COMPUTED_VALUE"""),"Instituto Federal Catarinense")</f>
        <v>Instituto Federal Catarinense</v>
      </c>
      <c r="E50" s="25">
        <f>IFERROR(__xludf.DUMMYFUNCTION("""COMPUTED_VALUE"""),2018.0)</f>
        <v>2018</v>
      </c>
      <c r="F50" s="24" t="str">
        <f>IFERROR(__xludf.DUMMYFUNCTION("""COMPUTED_VALUE"""),"Formação profissional. Ciência. Cultura. Humanismo")</f>
        <v>Formação profissional. Ciência. Cultura. Humanismo</v>
      </c>
      <c r="G50" s="28" t="str">
        <f>IFERROR(__xludf.DUMMYFUNCTION("""COMPUTED_VALUE"""),"9788556440259")</f>
        <v>9788556440259</v>
      </c>
      <c r="H50" s="29" t="str">
        <f>IFERROR(__xludf.DUMMYFUNCTION("""COMPUTED_VALUE"""),"https://editora.ifc.edu.br/2018/12/14/anais-da-semana-academica-facchu/")</f>
        <v>https://editora.ifc.edu.br/2018/12/14/anais-da-semana-academica-facchu/</v>
      </c>
      <c r="I50" s="24" t="str">
        <f>IFERROR(__xludf.DUMMYFUNCTION("""COMPUTED_VALUE"""),"Ciências Sociais Aplicadas")</f>
        <v>Ciências Sociais Aplicadas</v>
      </c>
    </row>
    <row r="51">
      <c r="A51" s="24" t="str">
        <f>IFERROR(__xludf.DUMMYFUNCTION("""COMPUTED_VALUE"""),"Análise comparativa das normas contábeis do Brasil e Portugal — coleção olhares —")</f>
        <v>Análise comparativa das normas contábeis do Brasil e Portugal — coleção olhares —</v>
      </c>
      <c r="B51" s="24" t="str">
        <f>IFERROR(__xludf.DUMMYFUNCTION("""COMPUTED_VALUE"""),"Maria José Onofre Santos")</f>
        <v>Maria José Onofre Santos</v>
      </c>
      <c r="C51" s="24" t="str">
        <f>IFERROR(__xludf.DUMMYFUNCTION("""COMPUTED_VALUE"""),"Anápolis")</f>
        <v>Anápolis</v>
      </c>
      <c r="D51" s="24" t="str">
        <f>IFERROR(__xludf.DUMMYFUNCTION("""COMPUTED_VALUE"""),"UEG")</f>
        <v>UEG</v>
      </c>
      <c r="E51" s="25">
        <f>IFERROR(__xludf.DUMMYFUNCTION("""COMPUTED_VALUE"""),2010.0)</f>
        <v>2010</v>
      </c>
      <c r="F51" s="24" t="str">
        <f>IFERROR(__xludf.DUMMYFUNCTION("""COMPUTED_VALUE"""),"Contabilidade – Brasil – Portugal")</f>
        <v>Contabilidade – Brasil – Portugal</v>
      </c>
      <c r="G51" s="28" t="str">
        <f>IFERROR(__xludf.DUMMYFUNCTION("""COMPUTED_VALUE"""),"9788563192134")</f>
        <v>9788563192134</v>
      </c>
      <c r="H51" s="29" t="str">
        <f>IFERROR(__xludf.DUMMYFUNCTION("""COMPUTED_VALUE"""),"http://cdn.ueg.edu.br/source/editora_ueg/conteudoN/4946/pdf_colecao_olhares/livro09_maria_jose.pdf")</f>
        <v>http://cdn.ueg.edu.br/source/editora_ueg/conteudoN/4946/pdf_colecao_olhares/livro09_maria_jose.pdf</v>
      </c>
      <c r="I51" s="24" t="str">
        <f>IFERROR(__xludf.DUMMYFUNCTION("""COMPUTED_VALUE"""),"Ciências Sociais Aplicadas")</f>
        <v>Ciências Sociais Aplicadas</v>
      </c>
    </row>
    <row r="52">
      <c r="A52" s="24" t="str">
        <f>IFERROR(__xludf.DUMMYFUNCTION("""COMPUTED_VALUE"""),"Análises eficaciais sob a égide normativa dos princípios da soberania nacional, da segurança alimentar e nutricional e da segurança hídrica")</f>
        <v>Análises eficaciais sob a égide normativa dos princípios da soberania nacional, da segurança alimentar e nutricional e da segurança hídrica</v>
      </c>
      <c r="B52" s="24" t="str">
        <f>IFERROR(__xludf.DUMMYFUNCTION("""COMPUTED_VALUE"""),"Gisela Maria Bester, Simone Hegele Bolson")</f>
        <v>Gisela Maria Bester, Simone Hegele Bolson</v>
      </c>
      <c r="C52" s="24" t="str">
        <f>IFERROR(__xludf.DUMMYFUNCTION("""COMPUTED_VALUE"""),"Joaçaba")</f>
        <v>Joaçaba</v>
      </c>
      <c r="D52" s="24" t="str">
        <f>IFERROR(__xludf.DUMMYFUNCTION("""COMPUTED_VALUE"""),"Unoesc")</f>
        <v>Unoesc</v>
      </c>
      <c r="E52" s="25">
        <f>IFERROR(__xludf.DUMMYFUNCTION("""COMPUTED_VALUE"""),2015.0)</f>
        <v>2015</v>
      </c>
      <c r="F52" s="24" t="str">
        <f>IFERROR(__xludf.DUMMYFUNCTION("""COMPUTED_VALUE"""),"Direitos fundamentais, Princípio da efetividade,; Direito à segurança")</f>
        <v>Direitos fundamentais, Princípio da efetividade,; Direito à segurança</v>
      </c>
      <c r="G52" s="28" t="str">
        <f>IFERROR(__xludf.DUMMYFUNCTION("""COMPUTED_VALUE"""),"9788584220601")</f>
        <v>9788584220601</v>
      </c>
      <c r="H52" s="29" t="str">
        <f>IFERROR(__xludf.DUMMYFUNCTION("""COMPUTED_VALUE"""),"https://www.unoesc.edu.br/images/uploads/editora/Analises_eficaciais_sob_a_egide_normativa_dos_principios.pdf")</f>
        <v>https://www.unoesc.edu.br/images/uploads/editora/Analises_eficaciais_sob_a_egide_normativa_dos_principios.pdf</v>
      </c>
      <c r="I52" s="24" t="str">
        <f>IFERROR(__xludf.DUMMYFUNCTION("""COMPUTED_VALUE"""),"Ciências Sociais Aplicadas")</f>
        <v>Ciências Sociais Aplicadas</v>
      </c>
    </row>
    <row r="53">
      <c r="A53" s="24" t="str">
        <f>IFERROR(__xludf.DUMMYFUNCTION("""COMPUTED_VALUE"""),"Antropologia Da Comunicação De Massa")</f>
        <v>Antropologia Da Comunicação De Massa</v>
      </c>
      <c r="B53" s="24" t="str">
        <f>IFERROR(__xludf.DUMMYFUNCTION("""COMPUTED_VALUE"""),"Isabel Travancas; Silvia Garcia Nogueira (org.)")</f>
        <v>Isabel Travancas; Silvia Garcia Nogueira (org.)</v>
      </c>
      <c r="C53" s="24" t="str">
        <f>IFERROR(__xludf.DUMMYFUNCTION("""COMPUTED_VALUE"""),"Campina Grande")</f>
        <v>Campina Grande</v>
      </c>
      <c r="D53" s="24" t="str">
        <f>IFERROR(__xludf.DUMMYFUNCTION("""COMPUTED_VALUE"""),"EDUEPB")</f>
        <v>EDUEPB</v>
      </c>
      <c r="E53" s="25">
        <f>IFERROR(__xludf.DUMMYFUNCTION("""COMPUTED_VALUE"""),2016.0)</f>
        <v>2016</v>
      </c>
      <c r="F53" s="24" t="str">
        <f>IFERROR(__xludf.DUMMYFUNCTION("""COMPUTED_VALUE"""),"Comunicação. Antropologia. Mídia – televisãoconsumo. Meios de comunicação")</f>
        <v>Comunicação. Antropologia. Mídia – televisãoconsumo. Meios de comunicação</v>
      </c>
      <c r="G53" s="28" t="str">
        <f>IFERROR(__xludf.DUMMYFUNCTION("""COMPUTED_VALUE"""),"9788578792633")</f>
        <v>9788578792633</v>
      </c>
      <c r="H53" s="29" t="str">
        <f>IFERROR(__xludf.DUMMYFUNCTION("""COMPUTED_VALUE"""),"http://eduepb.uepb.edu.br/download/antropologia-da-comunicacao-de-massa/?wpdmdl=161&amp;amp;masterkey=5af9962f39d1a")</f>
        <v>http://eduepb.uepb.edu.br/download/antropologia-da-comunicacao-de-massa/?wpdmdl=161&amp;amp;masterkey=5af9962f39d1a</v>
      </c>
      <c r="I53" s="24" t="str">
        <f>IFERROR(__xludf.DUMMYFUNCTION("""COMPUTED_VALUE"""),"Ciências Sociais Aplicadas")</f>
        <v>Ciências Sociais Aplicadas</v>
      </c>
    </row>
    <row r="54">
      <c r="A54" s="24" t="str">
        <f>IFERROR(__xludf.DUMMYFUNCTION("""COMPUTED_VALUE"""),"Antropologia sociocultural")</f>
        <v>Antropologia sociocultural</v>
      </c>
      <c r="B54" s="24" t="str">
        <f>IFERROR(__xludf.DUMMYFUNCTION("""COMPUTED_VALUE"""),"Rodrigo Luiz Simas de AGUIAR")</f>
        <v>Rodrigo Luiz Simas de AGUIAR</v>
      </c>
      <c r="C54" s="24" t="str">
        <f>IFERROR(__xludf.DUMMYFUNCTION("""COMPUTED_VALUE"""),"Dourados, MS")</f>
        <v>Dourados, MS</v>
      </c>
      <c r="D54" s="24" t="str">
        <f>IFERROR(__xludf.DUMMYFUNCTION("""COMPUTED_VALUE"""),"Ed. UFGD")</f>
        <v>Ed. UFGD</v>
      </c>
      <c r="E54" s="25">
        <f>IFERROR(__xludf.DUMMYFUNCTION("""COMPUTED_VALUE"""),2015.0)</f>
        <v>2015</v>
      </c>
      <c r="F54" s="24" t="str">
        <f>IFERROR(__xludf.DUMMYFUNCTION("""COMPUTED_VALUE"""),"Antropologia; Teorias; Métodos")</f>
        <v>Antropologia; Teorias; Métodos</v>
      </c>
      <c r="G54" s="28" t="str">
        <f>IFERROR(__xludf.DUMMYFUNCTION("""COMPUTED_VALUE"""),"9788581471082")</f>
        <v>9788581471082</v>
      </c>
      <c r="H54" s="29" t="str">
        <f>IFERROR(__xludf.DUMMYFUNCTION("""COMPUTED_VALUE"""),"http://omp.ufgd.edu.br/omp/index.php/livrosabertos/catalog/view/214/79/326-1")</f>
        <v>http://omp.ufgd.edu.br/omp/index.php/livrosabertos/catalog/view/214/79/326-1</v>
      </c>
      <c r="I54" s="24" t="str">
        <f>IFERROR(__xludf.DUMMYFUNCTION("""COMPUTED_VALUE"""),"Ciências Sociais Aplicadas")</f>
        <v>Ciências Sociais Aplicadas</v>
      </c>
    </row>
    <row r="55">
      <c r="A55" s="24" t="str">
        <f>IFERROR(__xludf.DUMMYFUNCTION("""COMPUTED_VALUE"""),"Apresentação de trabalhos monográficos de conclusão de curso")</f>
        <v>Apresentação de trabalhos monográficos de conclusão de curso</v>
      </c>
      <c r="B55" s="24" t="str">
        <f>IFERROR(__xludf.DUMMYFUNCTION("""COMPUTED_VALUE"""),"Universidade Federal Fluminense")</f>
        <v>Universidade Federal Fluminense</v>
      </c>
      <c r="C55" s="24" t="str">
        <f>IFERROR(__xludf.DUMMYFUNCTION("""COMPUTED_VALUE"""),"Niterói, RJ")</f>
        <v>Niterói, RJ</v>
      </c>
      <c r="D55" s="24" t="str">
        <f>IFERROR(__xludf.DUMMYFUNCTION("""COMPUTED_VALUE"""),"EDUFF")</f>
        <v>EDUFF</v>
      </c>
      <c r="E55" s="25">
        <f>IFERROR(__xludf.DUMMYFUNCTION("""COMPUTED_VALUE"""),2012.0)</f>
        <v>2012</v>
      </c>
      <c r="F55" s="24" t="str">
        <f>IFERROR(__xludf.DUMMYFUNCTION("""COMPUTED_VALUE"""),"Teses e dissertações acadêmicas – Apresentação; Trabalhos monográficos de; conclusão de curso – Apresentação; Trabalhos acadêmicos – Apresentação")</f>
        <v>Teses e dissertações acadêmicas – Apresentação; Trabalhos monográficos de; conclusão de curso – Apresentação; Trabalhos acadêmicos – Apresentação</v>
      </c>
      <c r="G55" s="28" t="str">
        <f>IFERROR(__xludf.DUMMYFUNCTION("""COMPUTED_VALUE"""),"9788522807895")</f>
        <v>9788522807895</v>
      </c>
      <c r="H55" s="29" t="str">
        <f>IFERROR(__xludf.DUMMYFUNCTION("""COMPUTED_VALUE"""),"http://www.eduff.uff.br/ebooks/Apresentacao-de-trabalhos-monograficos-de-conclusao-de-curso-Edicao-10.pdf")</f>
        <v>http://www.eduff.uff.br/ebooks/Apresentacao-de-trabalhos-monograficos-de-conclusao-de-curso-Edicao-10.pdf</v>
      </c>
      <c r="I55" s="24" t="str">
        <f>IFERROR(__xludf.DUMMYFUNCTION("""COMPUTED_VALUE"""),"Ciências Sociais Aplicadas")</f>
        <v>Ciências Sociais Aplicadas</v>
      </c>
    </row>
    <row r="56">
      <c r="A56" s="24" t="str">
        <f>IFERROR(__xludf.DUMMYFUNCTION("""COMPUTED_VALUE"""),"Arqueologia, etnologia e etno-história em Iberoamérica: fronteiras, cosmologia, antropologia em aplicação")</f>
        <v>Arqueologia, etnologia e etno-história em Iberoamérica: fronteiras, cosmologia, antropologia em aplicação</v>
      </c>
      <c r="B56" s="24" t="str">
        <f>IFERROR(__xludf.DUMMYFUNCTION("""COMPUTED_VALUE"""),"Rodrigo Luiz Simas de Aguiar, Jorge Eremites de Oliveira e Levi Marques Pereira, organizadores.")</f>
        <v>Rodrigo Luiz Simas de Aguiar, Jorge Eremites de Oliveira e Levi Marques Pereira, organizadores.</v>
      </c>
      <c r="C56" s="24" t="str">
        <f>IFERROR(__xludf.DUMMYFUNCTION("""COMPUTED_VALUE"""),"Dourados, MS")</f>
        <v>Dourados, MS</v>
      </c>
      <c r="D56" s="24" t="str">
        <f>IFERROR(__xludf.DUMMYFUNCTION("""COMPUTED_VALUE"""),"Ed. UFGD")</f>
        <v>Ed. UFGD</v>
      </c>
      <c r="E56" s="25">
        <f>IFERROR(__xludf.DUMMYFUNCTION("""COMPUTED_VALUE"""),2010.0)</f>
        <v>2010</v>
      </c>
      <c r="F56" s="24" t="str">
        <f>IFERROR(__xludf.DUMMYFUNCTION("""COMPUTED_VALUE"""),"Antropologia social; Arqueologia; Etnologia; Antropologia cultural")</f>
        <v>Antropologia social; Arqueologia; Etnologia; Antropologia cultural</v>
      </c>
      <c r="G56" s="28" t="str">
        <f>IFERROR(__xludf.DUMMYFUNCTION("""COMPUTED_VALUE"""),"9788561228743")</f>
        <v>9788561228743</v>
      </c>
      <c r="H56" s="29" t="str">
        <f>IFERROR(__xludf.DUMMYFUNCTION("""COMPUTED_VALUE"""),"http://omp.ufgd.edu.br/omp/index.php/livrosabertos/catalog/view/55/59/207-1")</f>
        <v>http://omp.ufgd.edu.br/omp/index.php/livrosabertos/catalog/view/55/59/207-1</v>
      </c>
      <c r="I56" s="24" t="str">
        <f>IFERROR(__xludf.DUMMYFUNCTION("""COMPUTED_VALUE"""),"Ciências Sociais Aplicadas")</f>
        <v>Ciências Sociais Aplicadas</v>
      </c>
    </row>
    <row r="57">
      <c r="A57" s="24" t="str">
        <f>IFERROR(__xludf.DUMMYFUNCTION("""COMPUTED_VALUE"""),"Arquitetura da cidade contemporânea: sobre raízes, ritmos e caminhos")</f>
        <v>Arquitetura da cidade contemporânea: sobre raízes, ritmos e caminhos</v>
      </c>
      <c r="B57" s="24" t="str">
        <f>IFERROR(__xludf.DUMMYFUNCTION("""COMPUTED_VALUE"""),"Silva, Gilcéia Pesce do Amaral e; Oliveira, Lisete Assen de (org.)")</f>
        <v>Silva, Gilcéia Pesce do Amaral e; Oliveira, Lisete Assen de (org.)</v>
      </c>
      <c r="C57" s="24" t="str">
        <f>IFERROR(__xludf.DUMMYFUNCTION("""COMPUTED_VALUE"""),"Florianópolis")</f>
        <v>Florianópolis</v>
      </c>
      <c r="D57" s="24" t="str">
        <f>IFERROR(__xludf.DUMMYFUNCTION("""COMPUTED_VALUE"""),"Editora da UFSC")</f>
        <v>Editora da UFSC</v>
      </c>
      <c r="E57" s="25">
        <f>IFERROR(__xludf.DUMMYFUNCTION("""COMPUTED_VALUE"""),2013.0)</f>
        <v>2013</v>
      </c>
      <c r="F57" s="24" t="str">
        <f>IFERROR(__xludf.DUMMYFUNCTION("""COMPUTED_VALUE"""),"Arquitetura e Urbanismo;Arquitetura da cidade;Cidade Contemporânea")</f>
        <v>Arquitetura e Urbanismo;Arquitetura da cidade;Cidade Contemporânea</v>
      </c>
      <c r="G57" s="28" t="str">
        <f>IFERROR(__xludf.DUMMYFUNCTION("""COMPUTED_VALUE"""),"9788532806345")</f>
        <v>9788532806345</v>
      </c>
      <c r="H57" s="29" t="str">
        <f>IFERROR(__xludf.DUMMYFUNCTION("""COMPUTED_VALUE"""),"https://repositorio.ufsc.br/handle/123456789/187608")</f>
        <v>https://repositorio.ufsc.br/handle/123456789/187608</v>
      </c>
      <c r="I57" s="24" t="str">
        <f>IFERROR(__xludf.DUMMYFUNCTION("""COMPUTED_VALUE"""),"Ciências Sociais Aplicadas")</f>
        <v>Ciências Sociais Aplicadas</v>
      </c>
    </row>
    <row r="58">
      <c r="A58" s="24" t="str">
        <f>IFERROR(__xludf.DUMMYFUNCTION("""COMPUTED_VALUE"""),"Arquitetura e conforto ambiental nos trópicos: coletânea de estudos e pesquisas do LabCon – UFPB de 2009 a 2018 (disponível temporariamente)")</f>
        <v>Arquitetura e conforto ambiental nos trópicos: coletânea de estudos e pesquisas do LabCon – UFPB de 2009 a 2018 (disponível temporariamente)</v>
      </c>
      <c r="B58" s="24" t="str">
        <f>IFERROR(__xludf.DUMMYFUNCTION("""COMPUTED_VALUE"""),"Solange Maria Leder, Barbara Lumy Noda Nogueira, Amanda Vieira Pessoa Lima (organizadores). ")</f>
        <v>Solange Maria Leder, Barbara Lumy Noda Nogueira, Amanda Vieira Pessoa Lima (organizadores). </v>
      </c>
      <c r="C58" s="24" t="str">
        <f>IFERROR(__xludf.DUMMYFUNCTION("""COMPUTED_VALUE"""),"João Pessoa")</f>
        <v>João Pessoa</v>
      </c>
      <c r="D58" s="24" t="str">
        <f>IFERROR(__xludf.DUMMYFUNCTION("""COMPUTED_VALUE"""),"Editora da UFPB")</f>
        <v>Editora da UFPB</v>
      </c>
      <c r="E58" s="25">
        <f>IFERROR(__xludf.DUMMYFUNCTION("""COMPUTED_VALUE"""),2019.0)</f>
        <v>2019</v>
      </c>
      <c r="F58" s="24" t="str">
        <f>IFERROR(__xludf.DUMMYFUNCTION("""COMPUTED_VALUE"""),"Arquitetura; Edificações residenciais; Arquitetura sustentável")</f>
        <v>Arquitetura; Edificações residenciais; Arquitetura sustentável</v>
      </c>
      <c r="G58" s="28" t="str">
        <f>IFERROR(__xludf.DUMMYFUNCTION("""COMPUTED_VALUE"""),"9788523714420")</f>
        <v>9788523714420</v>
      </c>
      <c r="H58" s="29" t="str">
        <f>IFERROR(__xludf.DUMMYFUNCTION("""COMPUTED_VALUE"""),"http://www.editora.ufpb.br/sistema/press5/index.php/UFPB/catalog/book/575")</f>
        <v>http://www.editora.ufpb.br/sistema/press5/index.php/UFPB/catalog/book/575</v>
      </c>
      <c r="I58" s="24" t="str">
        <f>IFERROR(__xludf.DUMMYFUNCTION("""COMPUTED_VALUE"""),"Ciências Sociais Aplicadas")</f>
        <v>Ciências Sociais Aplicadas</v>
      </c>
    </row>
    <row r="59">
      <c r="A59" s="24" t="str">
        <f>IFERROR(__xludf.DUMMYFUNCTION("""COMPUTED_VALUE"""),"Artigos científicos especialização 2016")</f>
        <v>Artigos científicos especialização 2016</v>
      </c>
      <c r="B59" s="24" t="str">
        <f>IFERROR(__xludf.DUMMYFUNCTION("""COMPUTED_VALUE"""),"Celso Paulo Costa, Daiane Pavan, Diego Beal, Gilberto Pinzetta, Inocência Boita Dalbosco")</f>
        <v>Celso Paulo Costa, Daiane Pavan, Diego Beal, Gilberto Pinzetta, Inocência Boita Dalbosco</v>
      </c>
      <c r="C59" s="24" t="str">
        <f>IFERROR(__xludf.DUMMYFUNCTION("""COMPUTED_VALUE"""),"Joaçaba")</f>
        <v>Joaçaba</v>
      </c>
      <c r="D59" s="24" t="str">
        <f>IFERROR(__xludf.DUMMYFUNCTION("""COMPUTED_VALUE"""),"Unoesc")</f>
        <v>Unoesc</v>
      </c>
      <c r="E59" s="25">
        <f>IFERROR(__xludf.DUMMYFUNCTION("""COMPUTED_VALUE"""),2017.0)</f>
        <v>2017</v>
      </c>
      <c r="F59" s="24" t="str">
        <f>IFERROR(__xludf.DUMMYFUNCTION("""COMPUTED_VALUE"""),"Ensino Superior - Pesquisa")</f>
        <v>Ensino Superior - Pesquisa</v>
      </c>
      <c r="G59" s="28" t="str">
        <f>IFERROR(__xludf.DUMMYFUNCTION("""COMPUTED_VALUE"""),"9788584221042")</f>
        <v>9788584221042</v>
      </c>
      <c r="H59" s="29" t="str">
        <f>IFERROR(__xludf.DUMMYFUNCTION("""COMPUTED_VALUE"""),"https://www.unoesc.edu.br/images/uploads/editora/Coletanea_de_artigos_Conhecimento_em_Pauta_2016_2.pdf")</f>
        <v>https://www.unoesc.edu.br/images/uploads/editora/Coletanea_de_artigos_Conhecimento_em_Pauta_2016_2.pdf</v>
      </c>
      <c r="I59" s="24" t="str">
        <f>IFERROR(__xludf.DUMMYFUNCTION("""COMPUTED_VALUE"""),"Ciências Sociais Aplicadas")</f>
        <v>Ciências Sociais Aplicadas</v>
      </c>
    </row>
    <row r="60" ht="63.0" customHeight="1">
      <c r="A60" s="24" t="str">
        <f>IFERROR(__xludf.DUMMYFUNCTION("""COMPUTED_VALUE"""),"As Eleições estaduais no Brasil : Estratégias de campanha para TV")</f>
        <v>As Eleições estaduais no Brasil : Estratégias de campanha para TV</v>
      </c>
      <c r="B60" s="24" t="str">
        <f>IFERROR(__xludf.DUMMYFUNCTION("""COMPUTED_VALUE"""),"Ricardo Tesseroli; Pedro Chapaval Pimentel; Aryovaldo de Castro Azevedo Jr (org.)")</f>
        <v>Ricardo Tesseroli; Pedro Chapaval Pimentel; Aryovaldo de Castro Azevedo Jr (org.)</v>
      </c>
      <c r="C60" s="24" t="str">
        <f>IFERROR(__xludf.DUMMYFUNCTION("""COMPUTED_VALUE"""),"Campina Grande")</f>
        <v>Campina Grande</v>
      </c>
      <c r="D60" s="24" t="str">
        <f>IFERROR(__xludf.DUMMYFUNCTION("""COMPUTED_VALUE"""),"EDUEPB")</f>
        <v>EDUEPB</v>
      </c>
      <c r="E60" s="25">
        <f>IFERROR(__xludf.DUMMYFUNCTION("""COMPUTED_VALUE"""),2019.0)</f>
        <v>2019</v>
      </c>
      <c r="F60" s="24" t="str">
        <f>IFERROR(__xludf.DUMMYFUNCTION("""COMPUTED_VALUE"""),"Ciência política. Ciências sociais. Política ")</f>
        <v>Ciência política. Ciências sociais. Política </v>
      </c>
      <c r="G60" s="28" t="str">
        <f>IFERROR(__xludf.DUMMYFUNCTION("""COMPUTED_VALUE"""),"9788578795948")</f>
        <v>9788578795948</v>
      </c>
      <c r="H60" s="29" t="str">
        <f>IFERROR(__xludf.DUMMYFUNCTION("""COMPUTED_VALUE"""),"http://eduepb.uepb.edu.br/download/as-eleicoes-estaduais-no-brasil-estrategias-de-campanha-para-tv/?wpdmdl=871&amp;#038;masterkey=5db32424321f5")</f>
        <v>http://eduepb.uepb.edu.br/download/as-eleicoes-estaduais-no-brasil-estrategias-de-campanha-para-tv/?wpdmdl=871&amp;#038;masterkey=5db32424321f5</v>
      </c>
      <c r="I60" s="24" t="str">
        <f>IFERROR(__xludf.DUMMYFUNCTION("""COMPUTED_VALUE"""),"Ciências Sociais Aplicadas")</f>
        <v>Ciências Sociais Aplicadas</v>
      </c>
    </row>
    <row r="61">
      <c r="A61" s="24" t="str">
        <f>IFERROR(__xludf.DUMMYFUNCTION("""COMPUTED_VALUE"""),"As frações da classe senhorial e a Lei Hipotecária de 1864")</f>
        <v>As frações da classe senhorial e a Lei Hipotecária de 1864</v>
      </c>
      <c r="B61" s="24" t="str">
        <f>IFERROR(__xludf.DUMMYFUNCTION("""COMPUTED_VALUE"""),"Pedro Parga Rodrigues")</f>
        <v>Pedro Parga Rodrigues</v>
      </c>
      <c r="C61" s="24" t="str">
        <f>IFERROR(__xludf.DUMMYFUNCTION("""COMPUTED_VALUE"""),"Niterói, RJ")</f>
        <v>Niterói, RJ</v>
      </c>
      <c r="D61" s="24" t="str">
        <f>IFERROR(__xludf.DUMMYFUNCTION("""COMPUTED_VALUE"""),"EdUFF")</f>
        <v>EdUFF</v>
      </c>
      <c r="E61" s="25">
        <f>IFERROR(__xludf.DUMMYFUNCTION("""COMPUTED_VALUE"""),2016.0)</f>
        <v>2016</v>
      </c>
      <c r="F61" s="24" t="str">
        <f>IFERROR(__xludf.DUMMYFUNCTION("""COMPUTED_VALUE"""),"Direito Civil; Propriedade privada; Lei Hipotecária")</f>
        <v>Direito Civil; Propriedade privada; Lei Hipotecária</v>
      </c>
      <c r="G61" s="28" t="str">
        <f>IFERROR(__xludf.DUMMYFUNCTION("""COMPUTED_VALUE"""),"9788522811793")</f>
        <v>9788522811793</v>
      </c>
      <c r="H61" s="29" t="str">
        <f>IFERROR(__xludf.DUMMYFUNCTION("""COMPUTED_VALUE"""),"http://www.eduff.uff.br/index.php/catalogo/8-catalogo/livros/492-as-fracoes-da-classe-senhorial-e-a-lei-hipotecaria-de-1864")</f>
        <v>http://www.eduff.uff.br/index.php/catalogo/8-catalogo/livros/492-as-fracoes-da-classe-senhorial-e-a-lei-hipotecaria-de-1864</v>
      </c>
      <c r="I61" s="24" t="str">
        <f>IFERROR(__xludf.DUMMYFUNCTION("""COMPUTED_VALUE"""),"Ciências Sociais Aplicadas")</f>
        <v>Ciências Sociais Aplicadas</v>
      </c>
    </row>
    <row r="62">
      <c r="A62" s="24" t="str">
        <f>IFERROR(__xludf.DUMMYFUNCTION("""COMPUTED_VALUE"""),"As mulheres indígenas na regulação do clima da América Latina: caminhos para um direito ecológico")</f>
        <v>As mulheres indígenas na regulação do clima da América Latina: caminhos para um direito ecológico</v>
      </c>
      <c r="B62" s="24" t="str">
        <f>IFERROR(__xludf.DUMMYFUNCTION("""COMPUTED_VALUE"""),"Heidi Michalski Ribeiro")</f>
        <v>Heidi Michalski Ribeiro</v>
      </c>
      <c r="C62" s="24" t="str">
        <f>IFERROR(__xludf.DUMMYFUNCTION("""COMPUTED_VALUE"""),"Boa Vista ")</f>
        <v>Boa Vista </v>
      </c>
      <c r="D62" s="24" t="str">
        <f>IFERROR(__xludf.DUMMYFUNCTION("""COMPUTED_VALUE"""),"UFRR")</f>
        <v>UFRR</v>
      </c>
      <c r="E62" s="25">
        <f>IFERROR(__xludf.DUMMYFUNCTION("""COMPUTED_VALUE"""),2020.0)</f>
        <v>2020</v>
      </c>
      <c r="F62" s="24" t="str">
        <f>IFERROR(__xludf.DUMMYFUNCTION("""COMPUTED_VALUE"""),"Mulheres indígenas; Direito ecológico; Meio ambiente")</f>
        <v>Mulheres indígenas; Direito ecológico; Meio ambiente</v>
      </c>
      <c r="G62" s="28" t="str">
        <f>IFERROR(__xludf.DUMMYFUNCTION("""COMPUTED_VALUE"""),"9786586062489")</f>
        <v>9786586062489</v>
      </c>
      <c r="H62" s="29" t="str">
        <f>IFERROR(__xludf.DUMMYFUNCTION("""COMPUTED_VALUE"""),"http://ufrr.br/editora/index.php/editais?download=447")</f>
        <v>http://ufrr.br/editora/index.php/editais?download=447</v>
      </c>
      <c r="I62" s="24" t="str">
        <f>IFERROR(__xludf.DUMMYFUNCTION("""COMPUTED_VALUE"""),"Ciências Sociais Aplicadas")</f>
        <v>Ciências Sociais Aplicadas</v>
      </c>
    </row>
    <row r="63">
      <c r="A63" s="24" t="str">
        <f>IFERROR(__xludf.DUMMYFUNCTION("""COMPUTED_VALUE"""),"As universidades estaduais e o desenvolvimento regional do Paraná*")</f>
        <v>As universidades estaduais e o desenvolvimento regional do Paraná*</v>
      </c>
      <c r="B63" s="24" t="str">
        <f>IFERROR(__xludf.DUMMYFUNCTION("""COMPUTED_VALUE"""),"Augusto Pelinski Raiher")</f>
        <v>Augusto Pelinski Raiher</v>
      </c>
      <c r="C63" s="24" t="str">
        <f>IFERROR(__xludf.DUMMYFUNCTION("""COMPUTED_VALUE"""),"Ponta Grossa")</f>
        <v>Ponta Grossa</v>
      </c>
      <c r="D63" s="24" t="str">
        <f>IFERROR(__xludf.DUMMYFUNCTION("""COMPUTED_VALUE"""),"Editora UEPG")</f>
        <v>Editora UEPG</v>
      </c>
      <c r="E63" s="25">
        <f>IFERROR(__xludf.DUMMYFUNCTION("""COMPUTED_VALUE"""),2015.0)</f>
        <v>2015</v>
      </c>
      <c r="F63" s="24" t="str">
        <f>IFERROR(__xludf.DUMMYFUNCTION("""COMPUTED_VALUE"""),"Universidades; Desenvolvimento econômico; Políticas públias")</f>
        <v>Universidades; Desenvolvimento econômico; Políticas públias</v>
      </c>
      <c r="G63" s="28" t="str">
        <f>IFERROR(__xludf.DUMMYFUNCTION("""COMPUTED_VALUE"""),"9788577982202")</f>
        <v>9788577982202</v>
      </c>
      <c r="H63" s="29" t="str">
        <f>IFERROR(__xludf.DUMMYFUNCTION("""COMPUTED_VALUE"""),"https://portal-archipelagus.azurewebsites.net/farol/eduepg/ebook/as-universidades-estaduais-e-o-desenvolvimento-regional-do-parana/43288/")</f>
        <v>https://portal-archipelagus.azurewebsites.net/farol/eduepg/ebook/as-universidades-estaduais-e-o-desenvolvimento-regional-do-parana/43288/</v>
      </c>
      <c r="I63" s="24" t="str">
        <f>IFERROR(__xludf.DUMMYFUNCTION("""COMPUTED_VALUE"""),"Ciências Sociais Aplicadas")</f>
        <v>Ciências Sociais Aplicadas</v>
      </c>
    </row>
    <row r="64">
      <c r="A64" s="24" t="str">
        <f>IFERROR(__xludf.DUMMYFUNCTION("""COMPUTED_VALUE"""),"Atlas econômico da cultura brasileira: metodologia I")</f>
        <v>Atlas econômico da cultura brasileira: metodologia I</v>
      </c>
      <c r="B64" s="24" t="str">
        <f>IFERROR(__xludf.DUMMYFUNCTION("""COMPUTED_VALUE"""),"Valiati, Leandro; Fialho, Ana Leticia do Nascimento ")</f>
        <v>Valiati, Leandro; Fialho, Ana Leticia do Nascimento </v>
      </c>
      <c r="C64" s="24" t="str">
        <f>IFERROR(__xludf.DUMMYFUNCTION("""COMPUTED_VALUE"""),"Porto Alegre")</f>
        <v>Porto Alegre</v>
      </c>
      <c r="D64" s="24" t="str">
        <f>IFERROR(__xludf.DUMMYFUNCTION("""COMPUTED_VALUE"""),"UFRGS")</f>
        <v>UFRGS</v>
      </c>
      <c r="E64" s="25">
        <f>IFERROR(__xludf.DUMMYFUNCTION("""COMPUTED_VALUE"""),2017.0)</f>
        <v>2017</v>
      </c>
      <c r="F64" s="24" t="str">
        <f>IFERROR(__xludf.DUMMYFUNCTION("""COMPUTED_VALUE"""),"Cultura; Economia da cultura; Políticas públicas")</f>
        <v>Cultura; Economia da cultura; Políticas públicas</v>
      </c>
      <c r="G64" s="28" t="str">
        <f>IFERROR(__xludf.DUMMYFUNCTION("""COMPUTED_VALUE"""),"9788538604884")</f>
        <v>9788538604884</v>
      </c>
      <c r="H64" s="29" t="str">
        <f>IFERROR(__xludf.DUMMYFUNCTION("""COMPUTED_VALUE"""),"http://hdl.handle.net/10183/198722")</f>
        <v>http://hdl.handle.net/10183/198722</v>
      </c>
      <c r="I64" s="24" t="str">
        <f>IFERROR(__xludf.DUMMYFUNCTION("""COMPUTED_VALUE"""),"Ciências Sociais Aplicadas")</f>
        <v>Ciências Sociais Aplicadas</v>
      </c>
    </row>
    <row r="65">
      <c r="A65" s="24" t="str">
        <f>IFERROR(__xludf.DUMMYFUNCTION("""COMPUTED_VALUE"""),"Atlas econômico da cultura brasileira: metodologia II")</f>
        <v>Atlas econômico da cultura brasileira: metodologia II</v>
      </c>
      <c r="B65" s="24" t="str">
        <f>IFERROR(__xludf.DUMMYFUNCTION("""COMPUTED_VALUE"""),"Valiati, Leandro; Fialho, Ana Leticia do Nascimento ")</f>
        <v>Valiati, Leandro; Fialho, Ana Leticia do Nascimento </v>
      </c>
      <c r="C65" s="24" t="str">
        <f>IFERROR(__xludf.DUMMYFUNCTION("""COMPUTED_VALUE"""),"Porto Alegre")</f>
        <v>Porto Alegre</v>
      </c>
      <c r="D65" s="24" t="str">
        <f>IFERROR(__xludf.DUMMYFUNCTION("""COMPUTED_VALUE"""),"UFRGS")</f>
        <v>UFRGS</v>
      </c>
      <c r="E65" s="25">
        <f>IFERROR(__xludf.DUMMYFUNCTION("""COMPUTED_VALUE"""),2017.0)</f>
        <v>2017</v>
      </c>
      <c r="F65" s="24" t="str">
        <f>IFERROR(__xludf.DUMMYFUNCTION("""COMPUTED_VALUE"""),"Cultura; Desenvolvimento econômico; Políticas públicas")</f>
        <v>Cultura; Desenvolvimento econômico; Políticas públicas</v>
      </c>
      <c r="G65" s="28" t="str">
        <f>IFERROR(__xludf.DUMMYFUNCTION("""COMPUTED_VALUE"""),"9788538604891")</f>
        <v>9788538604891</v>
      </c>
      <c r="H65" s="29" t="str">
        <f>IFERROR(__xludf.DUMMYFUNCTION("""COMPUTED_VALUE"""),"http://hdl.handle.net/10183/198717")</f>
        <v>http://hdl.handle.net/10183/198717</v>
      </c>
      <c r="I65" s="24" t="str">
        <f>IFERROR(__xludf.DUMMYFUNCTION("""COMPUTED_VALUE"""),"Ciências Sociais Aplicadas")</f>
        <v>Ciências Sociais Aplicadas</v>
      </c>
    </row>
    <row r="66">
      <c r="A66" s="24" t="str">
        <f>IFERROR(__xludf.DUMMYFUNCTION("""COMPUTED_VALUE"""),"Audiência de custódia e Cultura do Encarceramento")</f>
        <v>Audiência de custódia e Cultura do Encarceramento</v>
      </c>
      <c r="B66" s="24" t="str">
        <f>IFERROR(__xludf.DUMMYFUNCTION("""COMPUTED_VALUE"""),"Manuel Maria Antunes de Melo")</f>
        <v>Manuel Maria Antunes de Melo</v>
      </c>
      <c r="C66" s="24" t="str">
        <f>IFERROR(__xludf.DUMMYFUNCTION("""COMPUTED_VALUE"""),"Campina Grande")</f>
        <v>Campina Grande</v>
      </c>
      <c r="D66" s="24" t="str">
        <f>IFERROR(__xludf.DUMMYFUNCTION("""COMPUTED_VALUE"""),"EDUEPB")</f>
        <v>EDUEPB</v>
      </c>
      <c r="E66" s="25">
        <f>IFERROR(__xludf.DUMMYFUNCTION("""COMPUTED_VALUE"""),2018.0)</f>
        <v>2018</v>
      </c>
      <c r="F66" s="24" t="str">
        <f>IFERROR(__xludf.DUMMYFUNCTION("""COMPUTED_VALUE"""),"Direitos humanos. Sistema prisional brasileiro. Audiências de custódia")</f>
        <v>Direitos humanos. Sistema prisional brasileiro. Audiências de custódia</v>
      </c>
      <c r="G66" s="28" t="str">
        <f>IFERROR(__xludf.DUMMYFUNCTION("""COMPUTED_VALUE"""),"9788578795078")</f>
        <v>9788578795078</v>
      </c>
      <c r="H66" s="29" t="str">
        <f>IFERROR(__xludf.DUMMYFUNCTION("""COMPUTED_VALUE"""),"http://eduepb.uepb.edu.br/download/audiencia-de-custodia-e-cultura-do-encarceramento/?wpdmdl=486&amp;amp;masterkey=5b97b1fbd4c70")</f>
        <v>http://eduepb.uepb.edu.br/download/audiencia-de-custodia-e-cultura-do-encarceramento/?wpdmdl=486&amp;amp;masterkey=5b97b1fbd4c70</v>
      </c>
      <c r="I66" s="24" t="str">
        <f>IFERROR(__xludf.DUMMYFUNCTION("""COMPUTED_VALUE"""),"Ciências Sociais Aplicadas")</f>
        <v>Ciências Sociais Aplicadas</v>
      </c>
    </row>
    <row r="67">
      <c r="A67" s="24" t="str">
        <f>IFERROR(__xludf.DUMMYFUNCTION("""COMPUTED_VALUE"""),"Autodeterminação corporal para uso da fosfoetanolamina sintética")</f>
        <v>Autodeterminação corporal para uso da fosfoetanolamina sintética</v>
      </c>
      <c r="B67" s="24" t="str">
        <f>IFERROR(__xludf.DUMMYFUNCTION("""COMPUTED_VALUE"""),"Elaine Julliane Chielle")</f>
        <v>Elaine Julliane Chielle</v>
      </c>
      <c r="C67" s="24" t="str">
        <f>IFERROR(__xludf.DUMMYFUNCTION("""COMPUTED_VALUE"""),"Joaçaba")</f>
        <v>Joaçaba</v>
      </c>
      <c r="D67" s="24" t="str">
        <f>IFERROR(__xludf.DUMMYFUNCTION("""COMPUTED_VALUE"""),"Unoesc")</f>
        <v>Unoesc</v>
      </c>
      <c r="E67" s="25">
        <f>IFERROR(__xludf.DUMMYFUNCTION("""COMPUTED_VALUE"""),2017.0)</f>
        <v>2017</v>
      </c>
      <c r="F67" s="24" t="str">
        <f>IFERROR(__xludf.DUMMYFUNCTION("""COMPUTED_VALUE"""),"Direitos fundamentais, Declaração de vontade, Personalidade (Direito)")</f>
        <v>Direitos fundamentais, Declaração de vontade, Personalidade (Direito)</v>
      </c>
      <c r="G67" s="28" t="str">
        <f>IFERROR(__xludf.DUMMYFUNCTION("""COMPUTED_VALUE"""),"9788584221004")</f>
        <v>9788584221004</v>
      </c>
      <c r="H67" s="29" t="str">
        <f>IFERROR(__xludf.DUMMYFUNCTION("""COMPUTED_VALUE"""),"https://www.unoesc.edu.br/images/uploads/editora/Autodeterminacao_corporal_para_uso_da_fosfoetanolamina.pdf")</f>
        <v>https://www.unoesc.edu.br/images/uploads/editora/Autodeterminacao_corporal_para_uso_da_fosfoetanolamina.pdf</v>
      </c>
      <c r="I67" s="24" t="str">
        <f>IFERROR(__xludf.DUMMYFUNCTION("""COMPUTED_VALUE"""),"Ciências Sociais Aplicadas")</f>
        <v>Ciências Sociais Aplicadas</v>
      </c>
    </row>
    <row r="68">
      <c r="A68" s="24" t="str">
        <f>IFERROR(__xludf.DUMMYFUNCTION("""COMPUTED_VALUE"""),"Bancos Comunitários e moedas sociais no Brasil: reflexões a partir da noção de economia substantiva")</f>
        <v>Bancos Comunitários e moedas sociais no Brasil: reflexões a partir da noção de economia substantiva</v>
      </c>
      <c r="B68" s="24" t="str">
        <f>IFERROR(__xludf.DUMMYFUNCTION("""COMPUTED_VALUE"""),"Ariádne Scalfoni Rigo, Genauto Carvalho de França Filho.")</f>
        <v>Ariádne Scalfoni Rigo, Genauto Carvalho de França Filho.</v>
      </c>
      <c r="C68" s="24" t="str">
        <f>IFERROR(__xludf.DUMMYFUNCTION("""COMPUTED_VALUE"""),"Salvador")</f>
        <v>Salvador</v>
      </c>
      <c r="D68" s="24" t="str">
        <f>IFERROR(__xludf.DUMMYFUNCTION("""COMPUTED_VALUE"""),"EDUFBA")</f>
        <v>EDUFBA</v>
      </c>
      <c r="E68" s="25">
        <f>IFERROR(__xludf.DUMMYFUNCTION("""COMPUTED_VALUE"""),2017.0)</f>
        <v>2017</v>
      </c>
      <c r="F68" s="24" t="str">
        <f>IFERROR(__xludf.DUMMYFUNCTION("""COMPUTED_VALUE"""),"Bancos; Moedas; Economia; Política monetária")</f>
        <v>Bancos; Moedas; Economia; Política monetária</v>
      </c>
      <c r="G68" s="28" t="str">
        <f>IFERROR(__xludf.DUMMYFUNCTION("""COMPUTED_VALUE"""),"9788523216214")</f>
        <v>9788523216214</v>
      </c>
      <c r="H68" s="29" t="str">
        <f>IFERROR(__xludf.DUMMYFUNCTION("""COMPUTED_VALUE"""),"http://repositorio.ufba.br/ri/handle/ri/24260")</f>
        <v>http://repositorio.ufba.br/ri/handle/ri/24260</v>
      </c>
      <c r="I68" s="24" t="str">
        <f>IFERROR(__xludf.DUMMYFUNCTION("""COMPUTED_VALUE"""),"Ciências Sociais Aplicadas")</f>
        <v>Ciências Sociais Aplicadas</v>
      </c>
    </row>
    <row r="69">
      <c r="A69" s="24" t="str">
        <f>IFERROR(__xludf.DUMMYFUNCTION("""COMPUTED_VALUE"""),"Bibliotecas digitais: modelo metodológico para avaliação de usabilidade (disponível temporariamente)")</f>
        <v>Bibliotecas digitais: modelo metodológico para avaliação de usabilidade (disponível temporariamente)</v>
      </c>
      <c r="B69" s="24" t="str">
        <f>IFERROR(__xludf.DUMMYFUNCTION("""COMPUTED_VALUE"""),"Izabel França Lima")</f>
        <v>Izabel França Lima</v>
      </c>
      <c r="C69" s="24" t="str">
        <f>IFERROR(__xludf.DUMMYFUNCTION("""COMPUTED_VALUE"""),"João Pessoa")</f>
        <v>João Pessoa</v>
      </c>
      <c r="D69" s="24" t="str">
        <f>IFERROR(__xludf.DUMMYFUNCTION("""COMPUTED_VALUE"""),"Editora da UFPB")</f>
        <v>Editora da UFPB</v>
      </c>
      <c r="E69" s="25">
        <f>IFERROR(__xludf.DUMMYFUNCTION("""COMPUTED_VALUE"""),2015.0)</f>
        <v>2015</v>
      </c>
      <c r="F69" s="24" t="str">
        <f>IFERROR(__xludf.DUMMYFUNCTION("""COMPUTED_VALUE"""),"Bibliotecas digitais. Usabilidade - metodologia - avaliação. Armazenamento. Disseminação")</f>
        <v>Bibliotecas digitais. Usabilidade - metodologia - avaliação. Armazenamento. Disseminação</v>
      </c>
      <c r="G69" s="28" t="str">
        <f>IFERROR(__xludf.DUMMYFUNCTION("""COMPUTED_VALUE"""),"9788523710606")</f>
        <v>9788523710606</v>
      </c>
      <c r="H69" s="29" t="str">
        <f>IFERROR(__xludf.DUMMYFUNCTION("""COMPUTED_VALUE"""),"http://www.editora.ufpb.br/sistema/press5/index.php/UFPB/catalog/book/255")</f>
        <v>http://www.editora.ufpb.br/sistema/press5/index.php/UFPB/catalog/book/255</v>
      </c>
      <c r="I69" s="24" t="str">
        <f>IFERROR(__xludf.DUMMYFUNCTION("""COMPUTED_VALUE"""),"Ciências Sociais Aplicadas")</f>
        <v>Ciências Sociais Aplicadas</v>
      </c>
    </row>
    <row r="70">
      <c r="A70" s="24" t="str">
        <f>IFERROR(__xludf.DUMMYFUNCTION("""COMPUTED_VALUE"""),"Biografemário de um aprender: escrileituras em meio à vida")</f>
        <v>Biografemário de um aprender: escrileituras em meio à vida</v>
      </c>
      <c r="B70" s="24" t="str">
        <f>IFERROR(__xludf.DUMMYFUNCTION("""COMPUTED_VALUE"""),"Schwantz, Josimara Wikboldt")</f>
        <v>Schwantz, Josimara Wikboldt</v>
      </c>
      <c r="C70" s="24" t="str">
        <f>IFERROR(__xludf.DUMMYFUNCTION("""COMPUTED_VALUE"""),"Pelotas")</f>
        <v>Pelotas</v>
      </c>
      <c r="D70" s="24" t="str">
        <f>IFERROR(__xludf.DUMMYFUNCTION("""COMPUTED_VALUE"""),"UFPel")</f>
        <v>UFPel</v>
      </c>
      <c r="E70" s="25">
        <f>IFERROR(__xludf.DUMMYFUNCTION("""COMPUTED_VALUE"""),2017.0)</f>
        <v>2017</v>
      </c>
      <c r="F70" s="24" t="str">
        <f>IFERROR(__xludf.DUMMYFUNCTION("""COMPUTED_VALUE"""),"Educação; Aprendizado; Leitura; Filosofia da diferença; Biografemário")</f>
        <v>Educação; Aprendizado; Leitura; Filosofia da diferença; Biografemário</v>
      </c>
      <c r="G70" s="28" t="str">
        <f>IFERROR(__xludf.DUMMYFUNCTION("""COMPUTED_VALUE"""),"9788571929654")</f>
        <v>9788571929654</v>
      </c>
      <c r="H70" s="29" t="str">
        <f>IFERROR(__xludf.DUMMYFUNCTION("""COMPUTED_VALUE"""),"http://repositorio.ufpel.edu.br:8080/bitstream/prefix/3808/1/15_BIOGRAFEM%c3%81RIO%20DE%20UM%20APRENDER%20_S%c3%89RIE%20P%c3%93S%20GRADUA%c3%87%c3%83O.pdf")</f>
        <v>http://repositorio.ufpel.edu.br:8080/bitstream/prefix/3808/1/15_BIOGRAFEM%c3%81RIO%20DE%20UM%20APRENDER%20_S%c3%89RIE%20P%c3%93S%20GRADUA%c3%87%c3%83O.pdf</v>
      </c>
      <c r="I70" s="24" t="str">
        <f>IFERROR(__xludf.DUMMYFUNCTION("""COMPUTED_VALUE"""),"Ciências Sociais Aplicadas")</f>
        <v>Ciências Sociais Aplicadas</v>
      </c>
    </row>
    <row r="71">
      <c r="A71" s="24" t="str">
        <f>IFERROR(__xludf.DUMMYFUNCTION("""COMPUTED_VALUE"""),"Biografias não autorizadas e os limites do direito à privacidade e à liberdade de expressão, segundo a teoria da proporcionalidade")</f>
        <v>Biografias não autorizadas e os limites do direito à privacidade e à liberdade de expressão, segundo a teoria da proporcionalidade</v>
      </c>
      <c r="B71" s="24" t="str">
        <f>IFERROR(__xludf.DUMMYFUNCTION("""COMPUTED_VALUE"""),"Eraldo Concenço")</f>
        <v>Eraldo Concenço</v>
      </c>
      <c r="C71" s="24" t="str">
        <f>IFERROR(__xludf.DUMMYFUNCTION("""COMPUTED_VALUE"""),"Joaçaba")</f>
        <v>Joaçaba</v>
      </c>
      <c r="D71" s="24" t="str">
        <f>IFERROR(__xludf.DUMMYFUNCTION("""COMPUTED_VALUE"""),"Unoesc")</f>
        <v>Unoesc</v>
      </c>
      <c r="E71" s="25">
        <f>IFERROR(__xludf.DUMMYFUNCTION("""COMPUTED_VALUE"""),2017.0)</f>
        <v>2017</v>
      </c>
      <c r="F71" s="24" t="str">
        <f>IFERROR(__xludf.DUMMYFUNCTION("""COMPUTED_VALUE"""),"Direito à privacidade, Liberdade de expressão, Direitos fundamentais")</f>
        <v>Direito à privacidade, Liberdade de expressão, Direitos fundamentais</v>
      </c>
      <c r="G71" s="28" t="str">
        <f>IFERROR(__xludf.DUMMYFUNCTION("""COMPUTED_VALUE"""),"9788584221011")</f>
        <v>9788584221011</v>
      </c>
      <c r="H71" s="29" t="str">
        <f>IFERROR(__xludf.DUMMYFUNCTION("""COMPUTED_VALUE"""),"https://www.unoesc.edu.br/images/uploads/editora/Biografias_nao_autorizadas_e_os_limites_do_direito.pdf")</f>
        <v>https://www.unoesc.edu.br/images/uploads/editora/Biografias_nao_autorizadas_e_os_limites_do_direito.pdf</v>
      </c>
      <c r="I71" s="24" t="str">
        <f>IFERROR(__xludf.DUMMYFUNCTION("""COMPUTED_VALUE"""),"Ciências Sociais Aplicadas")</f>
        <v>Ciências Sociais Aplicadas</v>
      </c>
    </row>
    <row r="72">
      <c r="A72" s="24" t="str">
        <f>IFERROR(__xludf.DUMMYFUNCTION("""COMPUTED_VALUE"""),"Brics but no wall versus the Ibsa Cement: o problema da cooperação a partir de três níveis")</f>
        <v>Brics but no wall versus the Ibsa Cement: o problema da cooperação a partir de três níveis</v>
      </c>
      <c r="B72" s="24" t="str">
        <f>IFERROR(__xludf.DUMMYFUNCTION("""COMPUTED_VALUE"""),"Luciana Las Casas Oliveira ")</f>
        <v>Luciana Las Casas Oliveira </v>
      </c>
      <c r="C72" s="24" t="str">
        <f>IFERROR(__xludf.DUMMYFUNCTION("""COMPUTED_VALUE"""),"Campina Grande")</f>
        <v>Campina Grande</v>
      </c>
      <c r="D72" s="24" t="str">
        <f>IFERROR(__xludf.DUMMYFUNCTION("""COMPUTED_VALUE"""),"EDUEPB")</f>
        <v>EDUEPB</v>
      </c>
      <c r="E72" s="25">
        <f>IFERROR(__xludf.DUMMYFUNCTION("""COMPUTED_VALUE"""),2017.0)</f>
        <v>2017</v>
      </c>
      <c r="F72" s="24" t="str">
        <f>IFERROR(__xludf.DUMMYFUNCTION("""COMPUTED_VALUE"""),"Relações Internacionais. Economia global. Brasil, Rússia, Índia, China e África do Sul. Abordagem sistêmico-estrutural. Literatura das relações internacionais. Ordenamento global")</f>
        <v>Relações Internacionais. Economia global. Brasil, Rússia, Índia, China e África do Sul. Abordagem sistêmico-estrutural. Literatura das relações internacionais. Ordenamento global</v>
      </c>
      <c r="G72" s="28" t="str">
        <f>IFERROR(__xludf.DUMMYFUNCTION("""COMPUTED_VALUE"""),"9788578793784")</f>
        <v>9788578793784</v>
      </c>
      <c r="H72" s="29" t="str">
        <f>IFERROR(__xludf.DUMMYFUNCTION("""COMPUTED_VALUE"""),"http://eduepb.uepb.edu.br/download/brics-but-no-wall-versus-the-ibsa-cement-o-problema-da-cooperacao-a-partir-de-tres-niveis/?wpdmdl=378&amp;amp;masterkey=5b042cbeafedd")</f>
        <v>http://eduepb.uepb.edu.br/download/brics-but-no-wall-versus-the-ibsa-cement-o-problema-da-cooperacao-a-partir-de-tres-niveis/?wpdmdl=378&amp;amp;masterkey=5b042cbeafedd</v>
      </c>
      <c r="I72" s="24" t="str">
        <f>IFERROR(__xludf.DUMMYFUNCTION("""COMPUTED_VALUE"""),"Ciências Sociais Aplicadas")</f>
        <v>Ciências Sociais Aplicadas</v>
      </c>
    </row>
    <row r="73">
      <c r="A73" s="24" t="str">
        <f>IFERROR(__xludf.DUMMYFUNCTION("""COMPUTED_VALUE"""),"Bullying e cultura de paz no advento da nova ordem econômica")</f>
        <v>Bullying e cultura de paz no advento da nova ordem econômica</v>
      </c>
      <c r="B73" s="24" t="str">
        <f>IFERROR(__xludf.DUMMYFUNCTION("""COMPUTED_VALUE"""),"Leila Maria Torraca de Britto")</f>
        <v>Leila Maria Torraca de Britto</v>
      </c>
      <c r="C73" s="24" t="str">
        <f>IFERROR(__xludf.DUMMYFUNCTION("""COMPUTED_VALUE"""),"Rio de Janeiro")</f>
        <v>Rio de Janeiro</v>
      </c>
      <c r="D73" s="24" t="str">
        <f>IFERROR(__xludf.DUMMYFUNCTION("""COMPUTED_VALUE"""),"EdUERJ")</f>
        <v>EdUERJ</v>
      </c>
      <c r="E73" s="25">
        <f>IFERROR(__xludf.DUMMYFUNCTION("""COMPUTED_VALUE"""),2014.0)</f>
        <v>2014</v>
      </c>
      <c r="F73" s="24" t="str">
        <f>IFERROR(__xludf.DUMMYFUNCTION("""COMPUTED_VALUE"""),"Direitos humanos; Bullying; Nova ordem econômica")</f>
        <v>Direitos humanos; Bullying; Nova ordem econômica</v>
      </c>
      <c r="G73" s="28" t="str">
        <f>IFERROR(__xludf.DUMMYFUNCTION("""COMPUTED_VALUE"""),"9788575113271")</f>
        <v>9788575113271</v>
      </c>
      <c r="H73" s="29" t="str">
        <f>IFERROR(__xludf.DUMMYFUNCTION("""COMPUTED_VALUE"""),"https://www.eduerj.com/eng/?product=bullying-e-cultura-de-paz-no-advento-da-nova-ordem-economica-ebook")</f>
        <v>https://www.eduerj.com/eng/?product=bullying-e-cultura-de-paz-no-advento-da-nova-ordem-economica-ebook</v>
      </c>
      <c r="I73" s="24" t="str">
        <f>IFERROR(__xludf.DUMMYFUNCTION("""COMPUTED_VALUE"""),"Ciências Sociais Aplicadas")</f>
        <v>Ciências Sociais Aplicadas</v>
      </c>
    </row>
    <row r="74">
      <c r="A74" s="24" t="str">
        <f>IFERROR(__xludf.DUMMYFUNCTION("""COMPUTED_VALUE"""),"Campo de Pública: Políticas Públicas : Volume 1")</f>
        <v>Campo de Pública: Políticas Públicas : Volume 1</v>
      </c>
      <c r="B74" s="24" t="str">
        <f>IFERROR(__xludf.DUMMYFUNCTION("""COMPUTED_VALUE"""),"José Maria Pereira da Nóbrega Júnior; Edjane E. Dias da Silva (org.)")</f>
        <v>José Maria Pereira da Nóbrega Júnior; Edjane E. Dias da Silva (org.)</v>
      </c>
      <c r="C74" s="24" t="str">
        <f>IFERROR(__xludf.DUMMYFUNCTION("""COMPUTED_VALUE"""),"Campina Grande")</f>
        <v>Campina Grande</v>
      </c>
      <c r="D74" s="24" t="str">
        <f>IFERROR(__xludf.DUMMYFUNCTION("""COMPUTED_VALUE"""),"EDUEPB")</f>
        <v>EDUEPB</v>
      </c>
      <c r="E74" s="25">
        <f>IFERROR(__xludf.DUMMYFUNCTION("""COMPUTED_VALUE"""),2017.0)</f>
        <v>2017</v>
      </c>
      <c r="F74" s="24" t="str">
        <f>IFERROR(__xludf.DUMMYFUNCTION("""COMPUTED_VALUE"""),"Gestão pública. Educação. PROFIAP. Sustentabilidade nos ambientes acadêmicos.; Desenvolvimento e sustentabilidade ")</f>
        <v>Gestão pública. Educação. PROFIAP. Sustentabilidade nos ambientes acadêmicos.; Desenvolvimento e sustentabilidade </v>
      </c>
      <c r="G74" s="28" t="str">
        <f>IFERROR(__xludf.DUMMYFUNCTION("""COMPUTED_VALUE"""),"9788578793647")</f>
        <v>9788578793647</v>
      </c>
      <c r="H74" s="29" t="str">
        <f>IFERROR(__xludf.DUMMYFUNCTION("""COMPUTED_VALUE"""),"http://eduepb.uepb.edu.br/download/campo-de-publica-politicas-publicas-volume-1/?wpdmdl=166&amp;amp;masterkey=5af9976a8f1b4")</f>
        <v>http://eduepb.uepb.edu.br/download/campo-de-publica-politicas-publicas-volume-1/?wpdmdl=166&amp;amp;masterkey=5af9976a8f1b4</v>
      </c>
      <c r="I74" s="24" t="str">
        <f>IFERROR(__xludf.DUMMYFUNCTION("""COMPUTED_VALUE"""),"Ciências Sociais Aplicadas")</f>
        <v>Ciências Sociais Aplicadas</v>
      </c>
    </row>
    <row r="75">
      <c r="A75" s="24" t="str">
        <f>IFERROR(__xludf.DUMMYFUNCTION("""COMPUTED_VALUE"""),"Capital Social no Contexto Brasileiro")</f>
        <v>Capital Social no Contexto Brasileiro</v>
      </c>
      <c r="B75" s="24" t="str">
        <f>IFERROR(__xludf.DUMMYFUNCTION("""COMPUTED_VALUE"""),"Paulo Thiago N. B de Melo (org)")</f>
        <v>Paulo Thiago N. B de Melo (org)</v>
      </c>
      <c r="C75" s="24" t="str">
        <f>IFERROR(__xludf.DUMMYFUNCTION("""COMPUTED_VALUE"""),"Recife")</f>
        <v>Recife</v>
      </c>
      <c r="D75" s="24" t="str">
        <f>IFERROR(__xludf.DUMMYFUNCTION("""COMPUTED_VALUE"""),"Editora Universitária da UFRPE")</f>
        <v>Editora Universitária da UFRPE</v>
      </c>
      <c r="E75" s="25">
        <f>IFERROR(__xludf.DUMMYFUNCTION("""COMPUTED_VALUE"""),2015.0)</f>
        <v>2015</v>
      </c>
      <c r="F75" s="24" t="str">
        <f>IFERROR(__xludf.DUMMYFUNCTION("""COMPUTED_VALUE"""),"Capital social; Administração; Brasil")</f>
        <v>Capital social; Administração; Brasil</v>
      </c>
      <c r="G75" s="28" t="str">
        <f>IFERROR(__xludf.DUMMYFUNCTION("""COMPUTED_VALUE"""),"9788579462504")</f>
        <v>9788579462504</v>
      </c>
      <c r="H75" s="29" t="str">
        <f>IFERROR(__xludf.DUMMYFUNCTION("""COMPUTED_VALUE"""),"https://www.dropbox.com/s/98oqlas9jx1q2wf/CapitalSocial.pdf?dl=0")</f>
        <v>https://www.dropbox.com/s/98oqlas9jx1q2wf/CapitalSocial.pdf?dl=0</v>
      </c>
      <c r="I75" s="24" t="str">
        <f>IFERROR(__xludf.DUMMYFUNCTION("""COMPUTED_VALUE"""),"Ciências Sociais Aplicadas")</f>
        <v>Ciências Sociais Aplicadas</v>
      </c>
    </row>
    <row r="76">
      <c r="A76" s="24" t="str">
        <f>IFERROR(__xludf.DUMMYFUNCTION("""COMPUTED_VALUE"""),"Características econômicas e sociais de Santa Catarina no limiar do século XXI")</f>
        <v>Características econômicas e sociais de Santa Catarina no limiar do século XXI</v>
      </c>
      <c r="B76" s="24" t="str">
        <f>IFERROR(__xludf.DUMMYFUNCTION("""COMPUTED_VALUE"""),"Cario, Silvio Antonio Ferraz; Nicolau, José Antonio; Carvalho Júnior, Luiz Carlos de; Boppré, Norton Flores")</f>
        <v>Cario, Silvio Antonio Ferraz; Nicolau, José Antonio; Carvalho Júnior, Luiz Carlos de; Boppré, Norton Flores</v>
      </c>
      <c r="C76" s="24" t="str">
        <f>IFERROR(__xludf.DUMMYFUNCTION("""COMPUTED_VALUE"""),"Criciúma")</f>
        <v>Criciúma</v>
      </c>
      <c r="D76" s="24" t="str">
        <f>IFERROR(__xludf.DUMMYFUNCTION("""COMPUTED_VALUE"""),"Unesc")</f>
        <v>Unesc</v>
      </c>
      <c r="E76" s="25">
        <f>IFERROR(__xludf.DUMMYFUNCTION("""COMPUTED_VALUE"""),2019.0)</f>
        <v>2019</v>
      </c>
      <c r="F76" s="24" t="str">
        <f>IFERROR(__xludf.DUMMYFUNCTION("""COMPUTED_VALUE"""),"Santa Catarina - Aspectos econômicos; Planejamento regional - Santa Catarina; Desenvolvimento econômico; Agricultura - Santa Catarina; Esportes e turismo - Santa Catarina; Educação - Santa Catarina; Saúde - Santa Catarina; Vulnerabilidade social - Santa C"&amp;"atarina; Urbanização - Santa Catarina")</f>
        <v>Santa Catarina - Aspectos econômicos; Planejamento regional - Santa Catarina; Desenvolvimento econômico; Agricultura - Santa Catarina; Esportes e turismo - Santa Catarina; Educação - Santa Catarina; Saúde - Santa Catarina; Vulnerabilidade social - Santa Catarina; Urbanização - Santa Catarina</v>
      </c>
      <c r="G76" s="28" t="str">
        <f>IFERROR(__xludf.DUMMYFUNCTION("""COMPUTED_VALUE"""),"9788584101023")</f>
        <v>9788584101023</v>
      </c>
      <c r="H76" s="29" t="str">
        <f>IFERROR(__xludf.DUMMYFUNCTION("""COMPUTED_VALUE"""),"http://repositorio.unesc.net/handle/1/7663")</f>
        <v>http://repositorio.unesc.net/handle/1/7663</v>
      </c>
      <c r="I76" s="24" t="str">
        <f>IFERROR(__xludf.DUMMYFUNCTION("""COMPUTED_VALUE"""),"Ciências Sociais Aplicadas")</f>
        <v>Ciências Sociais Aplicadas</v>
      </c>
    </row>
    <row r="77">
      <c r="A77" s="24" t="str">
        <f>IFERROR(__xludf.DUMMYFUNCTION("""COMPUTED_VALUE"""),"Cartilha custo social: projeto de extensão: planejamento e controle de custos para formação do preço justo de vendas")</f>
        <v>Cartilha custo social: projeto de extensão: planejamento e controle de custos para formação do preço justo de vendas</v>
      </c>
      <c r="B77" s="24" t="str">
        <f>IFERROR(__xludf.DUMMYFUNCTION("""COMPUTED_VALUE"""),"Cittadin, Andréia; Pereira, Júlia Constante")</f>
        <v>Cittadin, Andréia; Pereira, Júlia Constante</v>
      </c>
      <c r="C77" s="24" t="str">
        <f>IFERROR(__xludf.DUMMYFUNCTION("""COMPUTED_VALUE"""),"Criciúma")</f>
        <v>Criciúma</v>
      </c>
      <c r="D77" s="24" t="str">
        <f>IFERROR(__xludf.DUMMYFUNCTION("""COMPUTED_VALUE"""),"Unesc")</f>
        <v>Unesc</v>
      </c>
      <c r="E77" s="25">
        <f>IFERROR(__xludf.DUMMYFUNCTION("""COMPUTED_VALUE"""),2017.0)</f>
        <v>2017</v>
      </c>
      <c r="F77" s="24" t="str">
        <f>IFERROR(__xludf.DUMMYFUNCTION("""COMPUTED_VALUE"""),"Economia solidária; Fluxo de caixa; Formação do preço de venda; Planejamento de custo; Controle de custo")</f>
        <v>Economia solidária; Fluxo de caixa; Formação do preço de venda; Planejamento de custo; Controle de custo</v>
      </c>
      <c r="G77" s="26"/>
      <c r="H77" s="29" t="str">
        <f>IFERROR(__xludf.DUMMYFUNCTION("""COMPUTED_VALUE"""),"http://repositorio.unesc.net/handle/1/5303")</f>
        <v>http://repositorio.unesc.net/handle/1/5303</v>
      </c>
      <c r="I77" s="24" t="str">
        <f>IFERROR(__xludf.DUMMYFUNCTION("""COMPUTED_VALUE"""),"Ciências Sociais Aplicadas")</f>
        <v>Ciências Sociais Aplicadas</v>
      </c>
    </row>
    <row r="78">
      <c r="A78" s="24" t="str">
        <f>IFERROR(__xludf.DUMMYFUNCTION("""COMPUTED_VALUE"""),"Cartilha de inovação e propriedade intelectual")</f>
        <v>Cartilha de inovação e propriedade intelectual</v>
      </c>
      <c r="B78" s="24" t="str">
        <f>IFERROR(__xludf.DUMMYFUNCTION("""COMPUTED_VALUE"""),"Watanabe, Melissa; Silva, Michel Alisson da; Ceretta, Luciane Bisognin; Lopes, Gisele Silveira Coelho; Medeiros, Vanessa Marcos; Gianezini, Miguelangelo; Frizon, Tiago Elias Allievi; Barbosa, Fabiana Gonçalves; Rico, Eduardo Pacheco")</f>
        <v>Watanabe, Melissa; Silva, Michel Alisson da; Ceretta, Luciane Bisognin; Lopes, Gisele Silveira Coelho; Medeiros, Vanessa Marcos; Gianezini, Miguelangelo; Frizon, Tiago Elias Allievi; Barbosa, Fabiana Gonçalves; Rico, Eduardo Pacheco</v>
      </c>
      <c r="C78" s="24" t="str">
        <f>IFERROR(__xludf.DUMMYFUNCTION("""COMPUTED_VALUE"""),"Criciúma")</f>
        <v>Criciúma</v>
      </c>
      <c r="D78" s="24" t="str">
        <f>IFERROR(__xludf.DUMMYFUNCTION("""COMPUTED_VALUE"""),"Unesc")</f>
        <v>Unesc</v>
      </c>
      <c r="E78" s="25">
        <f>IFERROR(__xludf.DUMMYFUNCTION("""COMPUTED_VALUE"""),2016.0)</f>
        <v>2016</v>
      </c>
      <c r="F78" s="24" t="str">
        <f>IFERROR(__xludf.DUMMYFUNCTION("""COMPUTED_VALUE"""),"Inovação; Propriedade intelectual; Patentes; Marca registrada; Desenho industrial; Direitos autorais; Direitos conexos; Indicação geográfica")</f>
        <v>Inovação; Propriedade intelectual; Patentes; Marca registrada; Desenho industrial; Direitos autorais; Direitos conexos; Indicação geográfica</v>
      </c>
      <c r="G78" s="26"/>
      <c r="H78" s="29" t="str">
        <f>IFERROR(__xludf.DUMMYFUNCTION("""COMPUTED_VALUE"""),"http://repositorio.unesc.net/handle/1/5013")</f>
        <v>http://repositorio.unesc.net/handle/1/5013</v>
      </c>
      <c r="I78" s="24" t="str">
        <f>IFERROR(__xludf.DUMMYFUNCTION("""COMPUTED_VALUE"""),"Ciências Sociais Aplicadas")</f>
        <v>Ciências Sociais Aplicadas</v>
      </c>
    </row>
    <row r="79">
      <c r="A79" s="24" t="str">
        <f>IFERROR(__xludf.DUMMYFUNCTION("""COMPUTED_VALUE"""),"Cartilha sobre direitos e deveres dos trabalhadores migrantes e refugiados")</f>
        <v>Cartilha sobre direitos e deveres dos trabalhadores migrantes e refugiados</v>
      </c>
      <c r="B79" s="24" t="str">
        <f>IFERROR(__xludf.DUMMYFUNCTION("""COMPUTED_VALUE"""),"Silva, Juliana Giovanetti Pereira da; Giovanetti, Lais ")</f>
        <v>Silva, Juliana Giovanetti Pereira da; Giovanetti, Lais </v>
      </c>
      <c r="C79" s="24" t="str">
        <f>IFERROR(__xludf.DUMMYFUNCTION("""COMPUTED_VALUE"""),"Piracicaba, SP")</f>
        <v>Piracicaba, SP</v>
      </c>
      <c r="D79" s="24" t="str">
        <f>IFERROR(__xludf.DUMMYFUNCTION("""COMPUTED_VALUE"""),"UNIMEP")</f>
        <v>UNIMEP</v>
      </c>
      <c r="E79" s="25">
        <f>IFERROR(__xludf.DUMMYFUNCTION("""COMPUTED_VALUE"""),2016.0)</f>
        <v>2016</v>
      </c>
      <c r="F79" s="24" t="str">
        <f>IFERROR(__xludf.DUMMYFUNCTION("""COMPUTED_VALUE"""),"Direito do trabalho. Brasil. Imigrantes")</f>
        <v>Direito do trabalho. Brasil. Imigrantes</v>
      </c>
      <c r="G79" s="28" t="str">
        <f>IFERROR(__xludf.DUMMYFUNCTION("""COMPUTED_VALUE"""),"9788585541804")</f>
        <v>9788585541804</v>
      </c>
      <c r="H79" s="29" t="str">
        <f>IFERROR(__xludf.DUMMYFUNCTION("""COMPUTED_VALUE"""),"http://editora.metodista.br/livros-gratis/CARTILHA.pdf/at_download/file")</f>
        <v>http://editora.metodista.br/livros-gratis/CARTILHA.pdf/at_download/file</v>
      </c>
      <c r="I79" s="24" t="str">
        <f>IFERROR(__xludf.DUMMYFUNCTION("""COMPUTED_VALUE"""),"Ciências Sociais Aplicadas")</f>
        <v>Ciências Sociais Aplicadas</v>
      </c>
    </row>
    <row r="80">
      <c r="A80" s="24" t="str">
        <f>IFERROR(__xludf.DUMMYFUNCTION("""COMPUTED_VALUE"""),"Cartografia da Folkcomunicação")</f>
        <v>Cartografia da Folkcomunicação</v>
      </c>
      <c r="B80" s="24" t="str">
        <f>IFERROR(__xludf.DUMMYFUNCTION("""COMPUTED_VALUE"""),"Itamar de Morais Nobre; Maria Érica de Oliveira Lima (org.)")</f>
        <v>Itamar de Morais Nobre; Maria Érica de Oliveira Lima (org.)</v>
      </c>
      <c r="C80" s="24" t="str">
        <f>IFERROR(__xludf.DUMMYFUNCTION("""COMPUTED_VALUE"""),"Campina Grande")</f>
        <v>Campina Grande</v>
      </c>
      <c r="D80" s="24" t="str">
        <f>IFERROR(__xludf.DUMMYFUNCTION("""COMPUTED_VALUE"""),"EDUEPB")</f>
        <v>EDUEPB</v>
      </c>
      <c r="E80" s="25">
        <f>IFERROR(__xludf.DUMMYFUNCTION("""COMPUTED_VALUE"""),2019.0)</f>
        <v>2019</v>
      </c>
      <c r="F80" s="24" t="str">
        <f>IFERROR(__xludf.DUMMYFUNCTION("""COMPUTED_VALUE"""),"Comunicação social. Folkcomunicação - Internacionalização. Cartografia - Regionalização midiática. Folkpublicidade. Identidade cultural. Folclore - Manifestação cultural. Mídia. Interculturalidade ")</f>
        <v>Comunicação social. Folkcomunicação - Internacionalização. Cartografia - Regionalização midiática. Folkpublicidade. Identidade cultural. Folclore - Manifestação cultural. Mídia. Interculturalidade </v>
      </c>
      <c r="G80" s="28" t="str">
        <f>IFERROR(__xludf.DUMMYFUNCTION("""COMPUTED_VALUE"""),"9788578794446")</f>
        <v>9788578794446</v>
      </c>
      <c r="H80" s="29" t="str">
        <f>IFERROR(__xludf.DUMMYFUNCTION("""COMPUTED_VALUE"""),"http://eduepb.uepb.edu.br/download/cartografia-da-folkcomunicacao/?wpdmdl=725&amp;amp;masterkey=5d011d09c46d3")</f>
        <v>http://eduepb.uepb.edu.br/download/cartografia-da-folkcomunicacao/?wpdmdl=725&amp;amp;masterkey=5d011d09c46d3</v>
      </c>
      <c r="I80" s="24" t="str">
        <f>IFERROR(__xludf.DUMMYFUNCTION("""COMPUTED_VALUE"""),"Ciências Sociais Aplicadas")</f>
        <v>Ciências Sociais Aplicadas</v>
      </c>
    </row>
    <row r="81">
      <c r="A81" s="24" t="str">
        <f>IFERROR(__xludf.DUMMYFUNCTION("""COMPUTED_VALUE"""),"Celso Amorim: entre virtudes e vocações")</f>
        <v>Celso Amorim: entre virtudes e vocações</v>
      </c>
      <c r="B81" s="24" t="str">
        <f>IFERROR(__xludf.DUMMYFUNCTION("""COMPUTED_VALUE"""),"Carlos Enrique Ruiz Ferreira; Daniel Afonso da Silva (org.)")</f>
        <v>Carlos Enrique Ruiz Ferreira; Daniel Afonso da Silva (org.)</v>
      </c>
      <c r="C81" s="24" t="str">
        <f>IFERROR(__xludf.DUMMYFUNCTION("""COMPUTED_VALUE"""),"Campina Grande")</f>
        <v>Campina Grande</v>
      </c>
      <c r="D81" s="24" t="str">
        <f>IFERROR(__xludf.DUMMYFUNCTION("""COMPUTED_VALUE"""),"EDUEPB")</f>
        <v>EDUEPB</v>
      </c>
      <c r="E81" s="25">
        <f>IFERROR(__xludf.DUMMYFUNCTION("""COMPUTED_VALUE"""),2019.0)</f>
        <v>2019</v>
      </c>
      <c r="F81" s="24" t="str">
        <f>IFERROR(__xludf.DUMMYFUNCTION("""COMPUTED_VALUE"""),"Relações Internacionais. Política Externa. Multilateralismo. Comércio Exterior - Brasil. Relações Econômicas Internacionais")</f>
        <v>Relações Internacionais. Política Externa. Multilateralismo. Comércio Exterior - Brasil. Relações Econômicas Internacionais</v>
      </c>
      <c r="G81" s="28" t="str">
        <f>IFERROR(__xludf.DUMMYFUNCTION("""COMPUTED_VALUE"""),"9788578795573")</f>
        <v>9788578795573</v>
      </c>
      <c r="H81" s="29" t="str">
        <f>IFERROR(__xludf.DUMMYFUNCTION("""COMPUTED_VALUE"""),"http://eduepb.uepb.edu.br/download/celso-amorim-entre-virtude-e-vocacoes/?wpdmdl=669&amp;amp;masterkey=5cb49a7ae7aeb")</f>
        <v>http://eduepb.uepb.edu.br/download/celso-amorim-entre-virtude-e-vocacoes/?wpdmdl=669&amp;amp;masterkey=5cb49a7ae7aeb</v>
      </c>
      <c r="I81" s="24" t="str">
        <f>IFERROR(__xludf.DUMMYFUNCTION("""COMPUTED_VALUE"""),"Ciências Sociais Aplicadas")</f>
        <v>Ciências Sociais Aplicadas</v>
      </c>
    </row>
    <row r="82">
      <c r="A82" s="24" t="str">
        <f>IFERROR(__xludf.DUMMYFUNCTION("""COMPUTED_VALUE"""),"Celso Furtado – O desvelador da realidade nordestina")</f>
        <v>Celso Furtado – O desvelador da realidade nordestina</v>
      </c>
      <c r="B82" s="24" t="str">
        <f>IFERROR(__xludf.DUMMYFUNCTION("""COMPUTED_VALUE"""),"Fundação Joaquim Nabuco")</f>
        <v>Fundação Joaquim Nabuco</v>
      </c>
      <c r="C82" s="24" t="str">
        <f>IFERROR(__xludf.DUMMYFUNCTION("""COMPUTED_VALUE"""),"Recife")</f>
        <v>Recife</v>
      </c>
      <c r="D82" s="24" t="str">
        <f>IFERROR(__xludf.DUMMYFUNCTION("""COMPUTED_VALUE"""),"Fundação Joaquim Nabuco / Editora Massangana")</f>
        <v>Fundação Joaquim Nabuco / Editora Massangana</v>
      </c>
      <c r="E82" s="25">
        <f>IFERROR(__xludf.DUMMYFUNCTION("""COMPUTED_VALUE"""),2017.0)</f>
        <v>2017</v>
      </c>
      <c r="F82" s="24" t="str">
        <f>IFERROR(__xludf.DUMMYFUNCTION("""COMPUTED_VALUE"""),"Celso Furtado; Economia; Desenvolvimento; Nordeste")</f>
        <v>Celso Furtado; Economia; Desenvolvimento; Nordeste</v>
      </c>
      <c r="G82" s="28" t="str">
        <f>IFERROR(__xludf.DUMMYFUNCTION("""COMPUTED_VALUE"""),"9788570196774")</f>
        <v>9788570196774</v>
      </c>
      <c r="H82" s="29" t="str">
        <f>IFERROR(__xludf.DUMMYFUNCTION("""COMPUTED_VALUE"""),"https://www.fundaj.gov.br/images/stories/editora/livros/livro_celso_furtado.pdf")</f>
        <v>https://www.fundaj.gov.br/images/stories/editora/livros/livro_celso_furtado.pdf</v>
      </c>
      <c r="I82" s="24" t="str">
        <f>IFERROR(__xludf.DUMMYFUNCTION("""COMPUTED_VALUE"""),"Ciências Sociais Aplicadas")</f>
        <v>Ciências Sociais Aplicadas</v>
      </c>
    </row>
    <row r="83">
      <c r="A83" s="24" t="str">
        <f>IFERROR(__xludf.DUMMYFUNCTION("""COMPUTED_VALUE"""),"Celso Furtado : a esperança militante : Vol. 1")</f>
        <v>Celso Furtado : a esperança militante : Vol. 1</v>
      </c>
      <c r="B83" s="24" t="str">
        <f>IFERROR(__xludf.DUMMYFUNCTION("""COMPUTED_VALUE"""),"Cidoval Morais de Sousa; Ivo Marcos Theis; José Luciano Albino Barbosa (org.)")</f>
        <v>Cidoval Morais de Sousa; Ivo Marcos Theis; José Luciano Albino Barbosa (org.)</v>
      </c>
      <c r="C83" s="24" t="str">
        <f>IFERROR(__xludf.DUMMYFUNCTION("""COMPUTED_VALUE"""),"Campina Grande")</f>
        <v>Campina Grande</v>
      </c>
      <c r="D83" s="24" t="str">
        <f>IFERROR(__xludf.DUMMYFUNCTION("""COMPUTED_VALUE"""),"EDUEPB")</f>
        <v>EDUEPB</v>
      </c>
      <c r="E83" s="25">
        <f>IFERROR(__xludf.DUMMYFUNCTION("""COMPUTED_VALUE"""),2020.0)</f>
        <v>2020</v>
      </c>
      <c r="F83" s="24" t="str">
        <f>IFERROR(__xludf.DUMMYFUNCTION("""COMPUTED_VALUE"""),"Desenvolvimento Regional - Brasil, Nordeste. Celso Furtado (1920-2004). Economista paraibano. Celso Furtado - Cientista social. Desenvolvimento econômico. Desigualdades regionais. Políticas de desenvolvimento - Brasil, Nordeste")</f>
        <v>Desenvolvimento Regional - Brasil, Nordeste. Celso Furtado (1920-2004). Economista paraibano. Celso Furtado - Cientista social. Desenvolvimento econômico. Desigualdades regionais. Políticas de desenvolvimento - Brasil, Nordeste</v>
      </c>
      <c r="G83" s="28" t="str">
        <f>IFERROR(__xludf.DUMMYFUNCTION("""COMPUTED_VALUE"""),"9786586221084")</f>
        <v>9786586221084</v>
      </c>
      <c r="H83" s="29" t="str">
        <f>IFERROR(__xludf.DUMMYFUNCTION("""COMPUTED_VALUE"""),"http://eduepb.uepb.edu.br/download/celso-furtado-vol-1/?wpdmdl=1066&amp;#038;masterkey=5ed6d06765d14")</f>
        <v>http://eduepb.uepb.edu.br/download/celso-furtado-vol-1/?wpdmdl=1066&amp;#038;masterkey=5ed6d06765d14</v>
      </c>
      <c r="I83" s="24" t="str">
        <f>IFERROR(__xludf.DUMMYFUNCTION("""COMPUTED_VALUE"""),"Ciências Sociais Aplicadas")</f>
        <v>Ciências Sociais Aplicadas</v>
      </c>
    </row>
    <row r="84">
      <c r="A84" s="24" t="str">
        <f>IFERROR(__xludf.DUMMYFUNCTION("""COMPUTED_VALUE"""),"Celso Furtado : a esperança militante : Vol. 2")</f>
        <v>Celso Furtado : a esperança militante : Vol. 2</v>
      </c>
      <c r="B84" s="24" t="str">
        <f>IFERROR(__xludf.DUMMYFUNCTION("""COMPUTED_VALUE"""),"Cidoval Morais de Sousa; Ivo Marcos Theis; José Luciano Albino Barbosa (org.)")</f>
        <v>Cidoval Morais de Sousa; Ivo Marcos Theis; José Luciano Albino Barbosa (org.)</v>
      </c>
      <c r="C84" s="24" t="str">
        <f>IFERROR(__xludf.DUMMYFUNCTION("""COMPUTED_VALUE"""),"Campina Grande")</f>
        <v>Campina Grande</v>
      </c>
      <c r="D84" s="24" t="str">
        <f>IFERROR(__xludf.DUMMYFUNCTION("""COMPUTED_VALUE"""),"EDUEPB")</f>
        <v>EDUEPB</v>
      </c>
      <c r="E84" s="25">
        <f>IFERROR(__xludf.DUMMYFUNCTION("""COMPUTED_VALUE"""),2020.0)</f>
        <v>2020</v>
      </c>
      <c r="F84" s="24" t="str">
        <f>IFERROR(__xludf.DUMMYFUNCTION("""COMPUTED_VALUE"""),"Desenvolvimento Regional - Brasil, Nordeste. Celso Furtado (1920-2004). Economista paraibano. Celso Furtado - Cientista social. Desenvolvimento econômico. Desigualdades regionais. Políticas de desenvolvimento - Brasil, Nordeste")</f>
        <v>Desenvolvimento Regional - Brasil, Nordeste. Celso Furtado (1920-2004). Economista paraibano. Celso Furtado - Cientista social. Desenvolvimento econômico. Desigualdades regionais. Políticas de desenvolvimento - Brasil, Nordeste</v>
      </c>
      <c r="G84" s="26"/>
      <c r="H84" s="29" t="str">
        <f>IFERROR(__xludf.DUMMYFUNCTION("""COMPUTED_VALUE"""),"http://eduepb.uepb.edu.br/download/celso-furtado-vol-2/?wpdmdl=1078&amp;#038;masterkey=5f011f8d02a10")</f>
        <v>http://eduepb.uepb.edu.br/download/celso-furtado-vol-2/?wpdmdl=1078&amp;#038;masterkey=5f011f8d02a10</v>
      </c>
      <c r="I84" s="24" t="str">
        <f>IFERROR(__xludf.DUMMYFUNCTION("""COMPUTED_VALUE"""),"Ciências Sociais Aplicadas")</f>
        <v>Ciências Sociais Aplicadas</v>
      </c>
    </row>
    <row r="85">
      <c r="A85" s="24" t="str">
        <f>IFERROR(__xludf.DUMMYFUNCTION("""COMPUTED_VALUE"""),"Celso Furtado entrevistado por Aspásia Camargo e Maria Andréa Loyola")</f>
        <v>Celso Furtado entrevistado por Aspásia Camargo e Maria Andréa Loyola</v>
      </c>
      <c r="B85" s="24" t="str">
        <f>IFERROR(__xludf.DUMMYFUNCTION("""COMPUTED_VALUE"""),"Entrevistado por Aspásia Camargo e Maria Andréa Loyola")</f>
        <v>Entrevistado por Aspásia Camargo e Maria Andréa Loyola</v>
      </c>
      <c r="C85" s="24" t="str">
        <f>IFERROR(__xludf.DUMMYFUNCTION("""COMPUTED_VALUE"""),"Rio de Janeiro")</f>
        <v>Rio de Janeiro</v>
      </c>
      <c r="D85" s="24" t="str">
        <f>IFERROR(__xludf.DUMMYFUNCTION("""COMPUTED_VALUE"""),"EdUERJ")</f>
        <v>EdUERJ</v>
      </c>
      <c r="E85" s="25">
        <f>IFERROR(__xludf.DUMMYFUNCTION("""COMPUTED_VALUE"""),2002.0)</f>
        <v>2002</v>
      </c>
      <c r="F85" s="24" t="str">
        <f>IFERROR(__xludf.DUMMYFUNCTION("""COMPUTED_VALUE"""),"Celso Furtado; Entrevistas; Economia")</f>
        <v>Celso Furtado; Entrevistas; Economia</v>
      </c>
      <c r="G85" s="28" t="str">
        <f>IFERROR(__xludf.DUMMYFUNCTION("""COMPUTED_VALUE"""),"8575110349")</f>
        <v>8575110349</v>
      </c>
      <c r="H85" s="29" t="str">
        <f>IFERROR(__xludf.DUMMYFUNCTION("""COMPUTED_VALUE"""),"https://www.eduerj.com/eng/?product=celso-furtado-2")</f>
        <v>https://www.eduerj.com/eng/?product=celso-furtado-2</v>
      </c>
      <c r="I85" s="24" t="str">
        <f>IFERROR(__xludf.DUMMYFUNCTION("""COMPUTED_VALUE"""),"Ciências Sociais Aplicadas")</f>
        <v>Ciências Sociais Aplicadas</v>
      </c>
    </row>
    <row r="86">
      <c r="A86" s="24" t="str">
        <f>IFERROR(__xludf.DUMMYFUNCTION("""COMPUTED_VALUE"""),"Cerâmicas em faiança existentes nos casarões do centro histórico de Pelotas, RS")</f>
        <v>Cerâmicas em faiança existentes nos casarões do centro histórico de Pelotas, RS</v>
      </c>
      <c r="B86" s="24" t="str">
        <f>IFERROR(__xludf.DUMMYFUNCTION("""COMPUTED_VALUE"""),"Scolari, Keli Cristina")</f>
        <v>Scolari, Keli Cristina</v>
      </c>
      <c r="C86" s="24" t="str">
        <f>IFERROR(__xludf.DUMMYFUNCTION("""COMPUTED_VALUE"""),"Pelotas")</f>
        <v>Pelotas</v>
      </c>
      <c r="D86" s="24" t="str">
        <f>IFERROR(__xludf.DUMMYFUNCTION("""COMPUTED_VALUE"""),"UFPel")</f>
        <v>UFPel</v>
      </c>
      <c r="E86" s="25">
        <f>IFERROR(__xludf.DUMMYFUNCTION("""COMPUTED_VALUE"""),2017.0)</f>
        <v>2017</v>
      </c>
      <c r="F86" s="24" t="str">
        <f>IFERROR(__xludf.DUMMYFUNCTION("""COMPUTED_VALUE"""),"Cerâmica; Faiança; Patrimônio histórico; Pelotas")</f>
        <v>Cerâmica; Faiança; Patrimônio histórico; Pelotas</v>
      </c>
      <c r="G86" s="28" t="str">
        <f>IFERROR(__xludf.DUMMYFUNCTION("""COMPUTED_VALUE"""),"9788571929524")</f>
        <v>9788571929524</v>
      </c>
      <c r="H86" s="29" t="str">
        <f>IFERROR(__xludf.DUMMYFUNCTION("""COMPUTED_VALUE"""),"http://repositorio.ufpel.edu.br:8080/bitstream/prefix/3802/1/8_CER%c3%82MICA%20EM%20FAIAN%c3%87A%20EXISTENTES%20NOS%20CASAR%c3%95ES%20DO%20CENTRO%20HIST%c3%93RICO%20DE%20PELOTAS-RS_S%c3%89RIE%20P%c3%93S%20GRADUA%c3%87%c3%83O.pdf")</f>
        <v>http://repositorio.ufpel.edu.br:8080/bitstream/prefix/3802/1/8_CER%c3%82MICA%20EM%20FAIAN%c3%87A%20EXISTENTES%20NOS%20CASAR%c3%95ES%20DO%20CENTRO%20HIST%c3%93RICO%20DE%20PELOTAS-RS_S%c3%89RIE%20P%c3%93S%20GRADUA%c3%87%c3%83O.pdf</v>
      </c>
      <c r="I86" s="24" t="str">
        <f>IFERROR(__xludf.DUMMYFUNCTION("""COMPUTED_VALUE"""),"Ciências Sociais Aplicadas")</f>
        <v>Ciências Sociais Aplicadas</v>
      </c>
    </row>
    <row r="87">
      <c r="A87" s="24" t="str">
        <f>IFERROR(__xludf.DUMMYFUNCTION("""COMPUTED_VALUE"""),"Cibernética Jurídica : Estudos sobre direito digital")</f>
        <v>Cibernética Jurídica : Estudos sobre direito digital</v>
      </c>
      <c r="B87" s="24" t="str">
        <f>IFERROR(__xludf.DUMMYFUNCTION("""COMPUTED_VALUE"""),"Claudio Joel Brito Lóssio; Luciano Nascimento; Rosangela Tremel (org.)")</f>
        <v>Claudio Joel Brito Lóssio; Luciano Nascimento; Rosangela Tremel (org.)</v>
      </c>
      <c r="C87" s="24" t="str">
        <f>IFERROR(__xludf.DUMMYFUNCTION("""COMPUTED_VALUE"""),"Campina Grande")</f>
        <v>Campina Grande</v>
      </c>
      <c r="D87" s="24" t="str">
        <f>IFERROR(__xludf.DUMMYFUNCTION("""COMPUTED_VALUE"""),"EDUEPB")</f>
        <v>EDUEPB</v>
      </c>
      <c r="E87" s="25">
        <f>IFERROR(__xludf.DUMMYFUNCTION("""COMPUTED_VALUE"""),2020.0)</f>
        <v>2020</v>
      </c>
      <c r="F87" s="24" t="str">
        <f>IFERROR(__xludf.DUMMYFUNCTION("""COMPUTED_VALUE"""),"Direito. Direito e tecnologia da informação. Bitcoin - Criptomoedas. Direito digital. Computação forense")</f>
        <v>Direito. Direito e tecnologia da informação. Bitcoin - Criptomoedas. Direito digital. Computação forense</v>
      </c>
      <c r="G87" s="28" t="str">
        <f>IFERROR(__xludf.DUMMYFUNCTION("""COMPUTED_VALUE"""),"9788578796181")</f>
        <v>9788578796181</v>
      </c>
      <c r="H87" s="29" t="str">
        <f>IFERROR(__xludf.DUMMYFUNCTION("""COMPUTED_VALUE"""),"http://eduepb.uepb.edu.br/download/cibernetica-juridica/?wpdmdl=1044&amp;#038;masterkey=5ec885278105a")</f>
        <v>http://eduepb.uepb.edu.br/download/cibernetica-juridica/?wpdmdl=1044&amp;#038;masterkey=5ec885278105a</v>
      </c>
      <c r="I87" s="24" t="str">
        <f>IFERROR(__xludf.DUMMYFUNCTION("""COMPUTED_VALUE"""),"Ciências Sociais Aplicadas")</f>
        <v>Ciências Sociais Aplicadas</v>
      </c>
    </row>
    <row r="88">
      <c r="A88" s="24" t="str">
        <f>IFERROR(__xludf.DUMMYFUNCTION("""COMPUTED_VALUE"""),"Ciência ou política de controle sobre vidas? (disponível temporariamente)")</f>
        <v>Ciência ou política de controle sobre vidas? (disponível temporariamente)</v>
      </c>
      <c r="B88" s="24" t="str">
        <f>IFERROR(__xludf.DUMMYFUNCTION("""COMPUTED_VALUE"""),"Luziana Ramalho Ribeiro; Regina Coelli Gomes Nascimento; Maria do Socorro de Souza Vieira; Fabio Gomes de França; ")</f>
        <v>Luziana Ramalho Ribeiro; Regina Coelli Gomes Nascimento; Maria do Socorro de Souza Vieira; Fabio Gomes de França; </v>
      </c>
      <c r="C88" s="24" t="str">
        <f>IFERROR(__xludf.DUMMYFUNCTION("""COMPUTED_VALUE"""),"João Pessoa")</f>
        <v>João Pessoa</v>
      </c>
      <c r="D88" s="24" t="str">
        <f>IFERROR(__xludf.DUMMYFUNCTION("""COMPUTED_VALUE"""),"Editora da UFPB")</f>
        <v>Editora da UFPB</v>
      </c>
      <c r="E88" s="25">
        <f>IFERROR(__xludf.DUMMYFUNCTION("""COMPUTED_VALUE"""),2019.0)</f>
        <v>2019</v>
      </c>
      <c r="F88" s="24" t="str">
        <f>IFERROR(__xludf.DUMMYFUNCTION("""COMPUTED_VALUE"""),"Direitos sociais. Política brasileira. Serviço social")</f>
        <v>Direitos sociais. Política brasileira. Serviço social</v>
      </c>
      <c r="G88" s="28" t="str">
        <f>IFERROR(__xludf.DUMMYFUNCTION("""COMPUTED_VALUE"""),"9788523714345")</f>
        <v>9788523714345</v>
      </c>
      <c r="H88" s="29" t="str">
        <f>IFERROR(__xludf.DUMMYFUNCTION("""COMPUTED_VALUE"""),"http://www.editora.ufpb.br/sistema/press5/index.php/UFPB/catalog/book/148")</f>
        <v>http://www.editora.ufpb.br/sistema/press5/index.php/UFPB/catalog/book/148</v>
      </c>
      <c r="I88" s="24" t="str">
        <f>IFERROR(__xludf.DUMMYFUNCTION("""COMPUTED_VALUE"""),"Ciências Sociais Aplicadas")</f>
        <v>Ciências Sociais Aplicadas</v>
      </c>
    </row>
    <row r="89">
      <c r="A89" s="24" t="str">
        <f>IFERROR(__xludf.DUMMYFUNCTION("""COMPUTED_VALUE"""),"Ciência, identificação e tecnologias de governo")</f>
        <v>Ciência, identificação e tecnologias de governo</v>
      </c>
      <c r="B89" s="24" t="str">
        <f>IFERROR(__xludf.DUMMYFUNCTION("""COMPUTED_VALUE"""),"Fonseca, Claudia Lee Williams; Machado, Helena ")</f>
        <v>Fonseca, Claudia Lee Williams; Machado, Helena </v>
      </c>
      <c r="C89" s="24" t="str">
        <f>IFERROR(__xludf.DUMMYFUNCTION("""COMPUTED_VALUE"""),"Porto Alegre")</f>
        <v>Porto Alegre</v>
      </c>
      <c r="D89" s="24" t="str">
        <f>IFERROR(__xludf.DUMMYFUNCTION("""COMPUTED_VALUE"""),"UFRGS")</f>
        <v>UFRGS</v>
      </c>
      <c r="E89" s="25">
        <f>IFERROR(__xludf.DUMMYFUNCTION("""COMPUTED_VALUE"""),2015.0)</f>
        <v>2015</v>
      </c>
      <c r="F89" s="24" t="str">
        <f>IFERROR(__xludf.DUMMYFUNCTION("""COMPUTED_VALUE"""),"Administração pública; Antropologia; Ciência; Criminologia; Direito penal; Medicina legal; Pericia criminal; Perícia digital (Direito); Perícia judicial; Política; Tecnologias de Informação e Comunicação (TICs)")</f>
        <v>Administração pública; Antropologia; Ciência; Criminologia; Direito penal; Medicina legal; Pericia criminal; Perícia digital (Direito); Perícia judicial; Política; Tecnologias de Informação e Comunicação (TICs)</v>
      </c>
      <c r="G89" s="28" t="str">
        <f>IFERROR(__xludf.DUMMYFUNCTION("""COMPUTED_VALUE"""),"9788538605072")</f>
        <v>9788538605072</v>
      </c>
      <c r="H89" s="29" t="str">
        <f>IFERROR(__xludf.DUMMYFUNCTION("""COMPUTED_VALUE"""),"http://hdl.handle.net/10183/213251")</f>
        <v>http://hdl.handle.net/10183/213251</v>
      </c>
      <c r="I89" s="24" t="str">
        <f>IFERROR(__xludf.DUMMYFUNCTION("""COMPUTED_VALUE"""),"Ciências Sociais Aplicadas")</f>
        <v>Ciências Sociais Aplicadas</v>
      </c>
    </row>
    <row r="90">
      <c r="A90" s="24" t="str">
        <f>IFERROR(__xludf.DUMMYFUNCTION("""COMPUTED_VALUE"""),"Ciência, identificação e tecnologias de governo")</f>
        <v>Ciência, identificação e tecnologias de governo</v>
      </c>
      <c r="B90" s="24" t="str">
        <f>IFERROR(__xludf.DUMMYFUNCTION("""COMPUTED_VALUE"""),"Machado, Helena; Fonseca, Claudia;")</f>
        <v>Machado, Helena; Fonseca, Claudia;</v>
      </c>
      <c r="C90" s="24" t="str">
        <f>IFERROR(__xludf.DUMMYFUNCTION("""COMPUTED_VALUE"""),"Porto Alegre")</f>
        <v>Porto Alegre</v>
      </c>
      <c r="D90" s="24" t="str">
        <f>IFERROR(__xludf.DUMMYFUNCTION("""COMPUTED_VALUE"""),"UFRGS - CEGOV")</f>
        <v>UFRGS - CEGOV</v>
      </c>
      <c r="E90" s="25">
        <f>IFERROR(__xludf.DUMMYFUNCTION("""COMPUTED_VALUE"""),2015.0)</f>
        <v>2015</v>
      </c>
      <c r="F90" s="24" t="str">
        <f>IFERROR(__xludf.DUMMYFUNCTION("""COMPUTED_VALUE"""),"Antropologia; Política; Direito; Genética Forense; Perícia forense; Administração pública; Ciência - Mecanismo de identificação civil e criminal - Tecnologias de Governo; Redes sócio-técnicas - Tecnologia de Identificação Civil e Criminal - Práticas buroc"&amp;"rático- estatais - Administração Pública ")</f>
        <v>Antropologia; Política; Direito; Genética Forense; Perícia forense; Administração pública; Ciência - Mecanismo de identificação civil e criminal - Tecnologias de Governo; Redes sócio-técnicas - Tecnologia de Identificação Civil e Criminal - Práticas burocrático- estatais - Administração Pública </v>
      </c>
      <c r="G90" s="28" t="str">
        <f>IFERROR(__xludf.DUMMYFUNCTION("""COMPUTED_VALUE"""),"9788538602729")</f>
        <v>9788538602729</v>
      </c>
      <c r="H90" s="29" t="str">
        <f>IFERROR(__xludf.DUMMYFUNCTION("""COMPUTED_VALUE"""),"https://hdl.handle.net/1884/47919")</f>
        <v>https://hdl.handle.net/1884/47919</v>
      </c>
      <c r="I90" s="24" t="str">
        <f>IFERROR(__xludf.DUMMYFUNCTION("""COMPUTED_VALUE"""),"Ciências Sociais Aplicadas")</f>
        <v>Ciências Sociais Aplicadas</v>
      </c>
    </row>
    <row r="91">
      <c r="A91" s="24" t="str">
        <f>IFERROR(__xludf.DUMMYFUNCTION("""COMPUTED_VALUE"""),"Ciência, medicina e perícia nas tecnologias de governo")</f>
        <v>Ciência, medicina e perícia nas tecnologias de governo</v>
      </c>
      <c r="B91" s="24" t="str">
        <f>IFERROR(__xludf.DUMMYFUNCTION("""COMPUTED_VALUE"""),"Fonseca, Claudia Lee Williams; Moreto, Glaucia Cristina Maricato; Duarte, Larissa Costa; Besen, Lucas Riboli ")</f>
        <v>Fonseca, Claudia Lee Williams; Moreto, Glaucia Cristina Maricato; Duarte, Larissa Costa; Besen, Lucas Riboli </v>
      </c>
      <c r="C91" s="24" t="str">
        <f>IFERROR(__xludf.DUMMYFUNCTION("""COMPUTED_VALUE"""),"Porto Alegre")</f>
        <v>Porto Alegre</v>
      </c>
      <c r="D91" s="24" t="str">
        <f>IFERROR(__xludf.DUMMYFUNCTION("""COMPUTED_VALUE"""),"UFRGS")</f>
        <v>UFRGS</v>
      </c>
      <c r="E91" s="25">
        <f>IFERROR(__xludf.DUMMYFUNCTION("""COMPUTED_VALUE"""),2016.0)</f>
        <v>2016</v>
      </c>
      <c r="F91" s="24" t="str">
        <f>IFERROR(__xludf.DUMMYFUNCTION("""COMPUTED_VALUE"""),"Administração pública; Antropologia; Ciência; Medicina legal; Perícia médica; Política; Segurança pública")</f>
        <v>Administração pública; Antropologia; Ciência; Medicina legal; Perícia médica; Política; Segurança pública</v>
      </c>
      <c r="G91" s="28" t="str">
        <f>IFERROR(__xludf.DUMMYFUNCTION("""COMPUTED_VALUE"""),"9788538605065")</f>
        <v>9788538605065</v>
      </c>
      <c r="H91" s="29" t="str">
        <f>IFERROR(__xludf.DUMMYFUNCTION("""COMPUTED_VALUE"""),"http://hdl.handle.net/10183/213283")</f>
        <v>http://hdl.handle.net/10183/213283</v>
      </c>
      <c r="I91" s="24" t="str">
        <f>IFERROR(__xludf.DUMMYFUNCTION("""COMPUTED_VALUE"""),"Ciências Sociais Aplicadas")</f>
        <v>Ciências Sociais Aplicadas</v>
      </c>
    </row>
    <row r="92">
      <c r="A92" s="24" t="str">
        <f>IFERROR(__xludf.DUMMYFUNCTION("""COMPUTED_VALUE"""),"Ciências contábeis e a produção científica em Mato Grosso: estudos e análises a partir da fronteira")</f>
        <v>Ciências contábeis e a produção científica em Mato Grosso: estudos e análises a partir da fronteira</v>
      </c>
      <c r="B92" s="24" t="str">
        <f>IFERROR(__xludf.DUMMYFUNCTION("""COMPUTED_VALUE"""),"(org.) Almir Rodrigues Durigon, Ivan Echeverria, José Ricarte de Lima, Paulo Alberto dos Santos Vieira.")</f>
        <v>(org.) Almir Rodrigues Durigon, Ivan Echeverria, José Ricarte de Lima, Paulo Alberto dos Santos Vieira.</v>
      </c>
      <c r="C92" s="24" t="str">
        <f>IFERROR(__xludf.DUMMYFUNCTION("""COMPUTED_VALUE"""),"Cáceres")</f>
        <v>Cáceres</v>
      </c>
      <c r="D92" s="24" t="str">
        <f>IFERROR(__xludf.DUMMYFUNCTION("""COMPUTED_VALUE"""),"UNEMAT")</f>
        <v>UNEMAT</v>
      </c>
      <c r="E92" s="25">
        <f>IFERROR(__xludf.DUMMYFUNCTION("""COMPUTED_VALUE"""),2018.0)</f>
        <v>2018</v>
      </c>
      <c r="F92" s="24" t="str">
        <f>IFERROR(__xludf.DUMMYFUNCTION("""COMPUTED_VALUE"""),"Ciências Contábeis; Produção Científica; Mato Grosso")</f>
        <v>Ciências Contábeis; Produção Científica; Mato Grosso</v>
      </c>
      <c r="G92" s="28" t="str">
        <f>IFERROR(__xludf.DUMMYFUNCTION("""COMPUTED_VALUE"""),"9788579111679")</f>
        <v>9788579111679</v>
      </c>
      <c r="H92" s="29" t="str">
        <f>IFERROR(__xludf.DUMMYFUNCTION("""COMPUTED_VALUE"""),"http://portal.unemat.br/media/files/editora-livro-ciencias_contabeis-E-Book.pdf")</f>
        <v>http://portal.unemat.br/media/files/editora-livro-ciencias_contabeis-E-Book.pdf</v>
      </c>
      <c r="I92" s="24" t="str">
        <f>IFERROR(__xludf.DUMMYFUNCTION("""COMPUTED_VALUE"""),"Ciências Sociais Aplicadas")</f>
        <v>Ciências Sociais Aplicadas</v>
      </c>
    </row>
    <row r="93">
      <c r="A93" s="24" t="str">
        <f>IFERROR(__xludf.DUMMYFUNCTION("""COMPUTED_VALUE"""),"Colapso: capitalismo terminal, transição ecossocial, ecofascismo")</f>
        <v>Colapso: capitalismo terminal, transição ecossocial, ecofascismo</v>
      </c>
      <c r="B93" s="24" t="str">
        <f>IFERROR(__xludf.DUMMYFUNCTION("""COMPUTED_VALUE"""),"Taibo, Carlos")</f>
        <v>Taibo, Carlos</v>
      </c>
      <c r="C93" s="24" t="str">
        <f>IFERROR(__xludf.DUMMYFUNCTION("""COMPUTED_VALUE"""),"Curitiba")</f>
        <v>Curitiba</v>
      </c>
      <c r="D93" s="24" t="str">
        <f>IFERROR(__xludf.DUMMYFUNCTION("""COMPUTED_VALUE"""),"UFPR")</f>
        <v>UFPR</v>
      </c>
      <c r="E93" s="25">
        <f>IFERROR(__xludf.DUMMYFUNCTION("""COMPUTED_VALUE"""),2019.0)</f>
        <v>2019</v>
      </c>
      <c r="F93" s="24" t="str">
        <f>IFERROR(__xludf.DUMMYFUNCTION("""COMPUTED_VALUE"""),"Crescimento negativo (Economia); Espanha - Condições econômicas século XXI; Capitalismo")</f>
        <v>Crescimento negativo (Economia); Espanha - Condições econômicas século XXI; Capitalismo</v>
      </c>
      <c r="G93" s="28" t="str">
        <f>IFERROR(__xludf.DUMMYFUNCTION("""COMPUTED_VALUE"""),"9786587448091")</f>
        <v>9786587448091</v>
      </c>
      <c r="H93" s="29" t="str">
        <f>IFERROR(__xludf.DUMMYFUNCTION("""COMPUTED_VALUE"""),"https://hdl.handle.net/1884/67247")</f>
        <v>https://hdl.handle.net/1884/67247</v>
      </c>
      <c r="I93" s="24" t="str">
        <f>IFERROR(__xludf.DUMMYFUNCTION("""COMPUTED_VALUE"""),"Ciências Sociais Aplicadas")</f>
        <v>Ciências Sociais Aplicadas</v>
      </c>
    </row>
    <row r="94">
      <c r="A94" s="24" t="str">
        <f>IFERROR(__xludf.DUMMYFUNCTION("""COMPUTED_VALUE"""),"Coletânea de artigos 2016 / Série Diálogos sobre Direito e Justiça")</f>
        <v>Coletânea de artigos 2016 / Série Diálogos sobre Direito e Justiça</v>
      </c>
      <c r="B94" s="24" t="str">
        <f>IFERROR(__xludf.DUMMYFUNCTION("""COMPUTED_VALUE"""),"Cristhian Magnus De Marco, Magda Cristiane Detsch da Silva, Orides Mezzaroba")</f>
        <v>Cristhian Magnus De Marco, Magda Cristiane Detsch da Silva, Orides Mezzaroba</v>
      </c>
      <c r="C94" s="24" t="str">
        <f>IFERROR(__xludf.DUMMYFUNCTION("""COMPUTED_VALUE"""),"Joaçaba")</f>
        <v>Joaçaba</v>
      </c>
      <c r="D94" s="24" t="str">
        <f>IFERROR(__xludf.DUMMYFUNCTION("""COMPUTED_VALUE"""),"Unoesc")</f>
        <v>Unoesc</v>
      </c>
      <c r="E94" s="25">
        <f>IFERROR(__xludf.DUMMYFUNCTION("""COMPUTED_VALUE"""),2017.0)</f>
        <v>2017</v>
      </c>
      <c r="F94" s="24" t="str">
        <f>IFERROR(__xludf.DUMMYFUNCTION("""COMPUTED_VALUE"""),"Direito, Justiça")</f>
        <v>Direito, Justiça</v>
      </c>
      <c r="G94" s="28" t="str">
        <f>IFERROR(__xludf.DUMMYFUNCTION("""COMPUTED_VALUE"""),"9788584221127")</f>
        <v>9788584221127</v>
      </c>
      <c r="H94" s="29" t="str">
        <f>IFERROR(__xludf.DUMMYFUNCTION("""COMPUTED_VALUE"""),"https://www.unoesc.edu.br/images/uploads/editora/Di%c3%a1logos_sobre_Direito_e_Justi%c3%a7a_.pdf")</f>
        <v>https://www.unoesc.edu.br/images/uploads/editora/Di%c3%a1logos_sobre_Direito_e_Justi%c3%a7a_.pdf</v>
      </c>
      <c r="I94" s="24" t="str">
        <f>IFERROR(__xludf.DUMMYFUNCTION("""COMPUTED_VALUE"""),"Ciências Sociais Aplicadas")</f>
        <v>Ciências Sociais Aplicadas</v>
      </c>
    </row>
    <row r="95">
      <c r="A95" s="24" t="str">
        <f>IFERROR(__xludf.DUMMYFUNCTION("""COMPUTED_VALUE"""),"Coletânea de artigos 2019")</f>
        <v>Coletânea de artigos 2019</v>
      </c>
      <c r="B95" s="24" t="str">
        <f>IFERROR(__xludf.DUMMYFUNCTION("""COMPUTED_VALUE"""),"Cristhian Magnus De Marco e Magda Cristiane Detsch da Silva")</f>
        <v>Cristhian Magnus De Marco e Magda Cristiane Detsch da Silva</v>
      </c>
      <c r="C95" s="24" t="str">
        <f>IFERROR(__xludf.DUMMYFUNCTION("""COMPUTED_VALUE"""),"Joaçaba")</f>
        <v>Joaçaba</v>
      </c>
      <c r="D95" s="24" t="str">
        <f>IFERROR(__xludf.DUMMYFUNCTION("""COMPUTED_VALUE"""),"Unoesc")</f>
        <v>Unoesc</v>
      </c>
      <c r="E95" s="25">
        <f>IFERROR(__xludf.DUMMYFUNCTION("""COMPUTED_VALUE"""),2019.0)</f>
        <v>2019</v>
      </c>
      <c r="F95" s="24" t="str">
        <f>IFERROR(__xludf.DUMMYFUNCTION("""COMPUTED_VALUE"""),"Direito, Justiça")</f>
        <v>Direito, Justiça</v>
      </c>
      <c r="G95" s="28" t="str">
        <f>IFERROR(__xludf.DUMMYFUNCTION("""COMPUTED_VALUE"""),"9786586158038 ")</f>
        <v>9786586158038 </v>
      </c>
      <c r="H95" s="29" t="str">
        <f>IFERROR(__xludf.DUMMYFUNCTION("""COMPUTED_VALUE"""),"https://www.unoesc.edu.br/images/uploads/editora/S%c3%a9rie_Di%c3%a1logos_sobre_Direito_e_Justi%c3%a7a_-_2019.pdf")</f>
        <v>https://www.unoesc.edu.br/images/uploads/editora/S%c3%a9rie_Di%c3%a1logos_sobre_Direito_e_Justi%c3%a7a_-_2019.pdf</v>
      </c>
      <c r="I95" s="24" t="str">
        <f>IFERROR(__xludf.DUMMYFUNCTION("""COMPUTED_VALUE"""),"Ciências Sociais Aplicadas")</f>
        <v>Ciências Sociais Aplicadas</v>
      </c>
    </row>
    <row r="96">
      <c r="A96" s="24" t="str">
        <f>IFERROR(__xludf.DUMMYFUNCTION("""COMPUTED_VALUE"""),"Compliance e gestão tributária")</f>
        <v>Compliance e gestão tributária</v>
      </c>
      <c r="B96" s="24" t="str">
        <f>IFERROR(__xludf.DUMMYFUNCTION("""COMPUTED_VALUE"""),"Rafaela dos Santos Jales (org.)")</f>
        <v>Rafaela dos Santos Jales (org.)</v>
      </c>
      <c r="C96" s="24" t="str">
        <f>IFERROR(__xludf.DUMMYFUNCTION("""COMPUTED_VALUE"""),"Campina Grande")</f>
        <v>Campina Grande</v>
      </c>
      <c r="D96" s="24" t="str">
        <f>IFERROR(__xludf.DUMMYFUNCTION("""COMPUTED_VALUE"""),"EDUEPB")</f>
        <v>EDUEPB</v>
      </c>
      <c r="E96" s="25">
        <f>IFERROR(__xludf.DUMMYFUNCTION("""COMPUTED_VALUE"""),2020.0)</f>
        <v>2020</v>
      </c>
      <c r="F96" s="24" t="str">
        <f>IFERROR(__xludf.DUMMYFUNCTION("""COMPUTED_VALUE"""),"Direito tributário. Planejamento tributário. Compliance. Obrigações acessórias. Receitas financeiras")</f>
        <v>Direito tributário. Planejamento tributário. Compliance. Obrigações acessórias. Receitas financeiras</v>
      </c>
      <c r="G96" s="28" t="str">
        <f>IFERROR(__xludf.DUMMYFUNCTION("""COMPUTED_VALUE"""),"9786586221060")</f>
        <v>9786586221060</v>
      </c>
      <c r="H96" s="29" t="str">
        <f>IFERROR(__xludf.DUMMYFUNCTION("""COMPUTED_VALUE"""),"http://eduepb.uepb.edu.br/download/complianc-e-gestao-tributaria/?wpdmdl=1158&amp;#038;masterkey=5f5a93b8ea2c4")</f>
        <v>http://eduepb.uepb.edu.br/download/complianc-e-gestao-tributaria/?wpdmdl=1158&amp;#038;masterkey=5f5a93b8ea2c4</v>
      </c>
      <c r="I96" s="24" t="str">
        <f>IFERROR(__xludf.DUMMYFUNCTION("""COMPUTED_VALUE"""),"Ciências Sociais Aplicadas")</f>
        <v>Ciências Sociais Aplicadas</v>
      </c>
    </row>
    <row r="97">
      <c r="A97" s="24" t="str">
        <f>IFERROR(__xludf.DUMMYFUNCTION("""COMPUTED_VALUE"""),"Comportamento e instituições políticas")</f>
        <v>Comportamento e instituições políticas</v>
      </c>
      <c r="B97" s="24" t="str">
        <f>IFERROR(__xludf.DUMMYFUNCTION("""COMPUTED_VALUE"""),"Grohmann, Luis Gustavo Mello ")</f>
        <v>Grohmann, Luis Gustavo Mello </v>
      </c>
      <c r="C97" s="24" t="str">
        <f>IFERROR(__xludf.DUMMYFUNCTION("""COMPUTED_VALUE"""),"Porto Alegre")</f>
        <v>Porto Alegre</v>
      </c>
      <c r="D97" s="24" t="str">
        <f>IFERROR(__xludf.DUMMYFUNCTION("""COMPUTED_VALUE"""),"UFRGS")</f>
        <v>UFRGS</v>
      </c>
      <c r="E97" s="25">
        <f>IFERROR(__xludf.DUMMYFUNCTION("""COMPUTED_VALUE"""),2018.0)</f>
        <v>2018</v>
      </c>
      <c r="F97" s="24" t="str">
        <f>IFERROR(__xludf.DUMMYFUNCTION("""COMPUTED_VALUE"""),"Agências reguladoras; Eleições municipais; Instituições políticas; Multipartidarismo; Orçamento público; Partidos políticos; Partidos políticos de esquerda; Poder legislativo; Políticas públicas")</f>
        <v>Agências reguladoras; Eleições municipais; Instituições políticas; Multipartidarismo; Orçamento público; Partidos políticos; Partidos políticos de esquerda; Poder legislativo; Políticas públicas</v>
      </c>
      <c r="G97" s="28" t="str">
        <f>IFERROR(__xludf.DUMMYFUNCTION("""COMPUTED_VALUE"""),"9788538604372")</f>
        <v>9788538604372</v>
      </c>
      <c r="H97" s="29" t="str">
        <f>IFERROR(__xludf.DUMMYFUNCTION("""COMPUTED_VALUE"""),"http://hdl.handle.net/10183/184841")</f>
        <v>http://hdl.handle.net/10183/184841</v>
      </c>
      <c r="I97" s="24" t="str">
        <f>IFERROR(__xludf.DUMMYFUNCTION("""COMPUTED_VALUE"""),"Ciências Sociais Aplicadas")</f>
        <v>Ciências Sociais Aplicadas</v>
      </c>
    </row>
    <row r="98">
      <c r="A98" s="24" t="str">
        <f>IFERROR(__xludf.DUMMYFUNCTION("""COMPUTED_VALUE"""),"Comunicação e cultura no Brasil: diálogos com a Economia Política da Comunicação e da Cultura.")</f>
        <v>Comunicação e cultura no Brasil: diálogos com a Economia Política da Comunicação e da Cultura.</v>
      </c>
      <c r="B98" s="24" t="str">
        <f>IFERROR(__xludf.DUMMYFUNCTION("""COMPUTED_VALUE"""),"Organização; Eula Dantas Taveira Cabral; Adilson Vaz Cabral Filho")</f>
        <v>Organização; Eula Dantas Taveira Cabral; Adilson Vaz Cabral Filho</v>
      </c>
      <c r="C98" s="24" t="str">
        <f>IFERROR(__xludf.DUMMYFUNCTION("""COMPUTED_VALUE"""),"Rio de Janeiro")</f>
        <v>Rio de Janeiro</v>
      </c>
      <c r="D98" s="24" t="str">
        <f>IFERROR(__xludf.DUMMYFUNCTION("""COMPUTED_VALUE"""),"Fundação Casa de Rui Barbosa")</f>
        <v>Fundação Casa de Rui Barbosa</v>
      </c>
      <c r="E98" s="25">
        <f>IFERROR(__xludf.DUMMYFUNCTION("""COMPUTED_VALUE"""),2018.0)</f>
        <v>2018</v>
      </c>
      <c r="F98" s="24" t="str">
        <f>IFERROR(__xludf.DUMMYFUNCTION("""COMPUTED_VALUE"""),"Comunicação. Cultura")</f>
        <v>Comunicação. Cultura</v>
      </c>
      <c r="G98" s="28" t="str">
        <f>IFERROR(__xludf.DUMMYFUNCTION("""COMPUTED_VALUE"""),"9788570043795")</f>
        <v>9788570043795</v>
      </c>
      <c r="H98" s="29" t="str">
        <f>IFERROR(__xludf.DUMMYFUNCTION("""COMPUTED_VALUE"""),"http://www.casaruibarbosa.gov.br/arquivos/file/eBooks/comunicacao_Cultura_Brasil_Dialogos_Economia_Politica_Comunicacao_Cultura.pdf")</f>
        <v>http://www.casaruibarbosa.gov.br/arquivos/file/eBooks/comunicacao_Cultura_Brasil_Dialogos_Economia_Politica_Comunicacao_Cultura.pdf</v>
      </c>
      <c r="I98" s="24" t="str">
        <f>IFERROR(__xludf.DUMMYFUNCTION("""COMPUTED_VALUE"""),"Ciências Sociais Aplicadas")</f>
        <v>Ciências Sociais Aplicadas</v>
      </c>
    </row>
    <row r="99">
      <c r="A99" s="24" t="str">
        <f>IFERROR(__xludf.DUMMYFUNCTION("""COMPUTED_VALUE"""),"Comunicação e mídia: análise do discurso e formação discursiva em textos midiáticos ")</f>
        <v>Comunicação e mídia: análise do discurso e formação discursiva em textos midiáticos </v>
      </c>
      <c r="B99" s="24" t="str">
        <f>IFERROR(__xludf.DUMMYFUNCTION("""COMPUTED_VALUE"""),"Organizadora Sandra Maria Pereira do Sacramento. ")</f>
        <v>Organizadora Sandra Maria Pereira do Sacramento. </v>
      </c>
      <c r="C99" s="24" t="str">
        <f>IFERROR(__xludf.DUMMYFUNCTION("""COMPUTED_VALUE"""),"Ilhéus, BA")</f>
        <v>Ilhéus, BA</v>
      </c>
      <c r="D99" s="24" t="str">
        <f>IFERROR(__xludf.DUMMYFUNCTION("""COMPUTED_VALUE"""),"Editus")</f>
        <v>Editus</v>
      </c>
      <c r="E99" s="25">
        <f>IFERROR(__xludf.DUMMYFUNCTION("""COMPUTED_VALUE"""),2004.0)</f>
        <v>2004</v>
      </c>
      <c r="F99" s="24" t="str">
        <f>IFERROR(__xludf.DUMMYFUNCTION("""COMPUTED_VALUE"""),"Análise do discurso; Retórica; Comunicação de massa na linguagem")</f>
        <v>Análise do discurso; Retórica; Comunicação de massa na linguagem</v>
      </c>
      <c r="G99" s="28" t="str">
        <f>IFERROR(__xludf.DUMMYFUNCTION("""COMPUTED_VALUE"""),"8574550841")</f>
        <v>8574550841</v>
      </c>
      <c r="H99" s="29" t="str">
        <f>IFERROR(__xludf.DUMMYFUNCTION("""COMPUTED_VALUE"""),"http://www.uesc.br/editora/livrosdigitais2015/comunicacao_midia.pdf")</f>
        <v>http://www.uesc.br/editora/livrosdigitais2015/comunicacao_midia.pdf</v>
      </c>
      <c r="I99" s="24" t="str">
        <f>IFERROR(__xludf.DUMMYFUNCTION("""COMPUTED_VALUE"""),"Ciências Sociais Aplicadas")</f>
        <v>Ciências Sociais Aplicadas</v>
      </c>
    </row>
    <row r="100">
      <c r="A100" s="24" t="str">
        <f>IFERROR(__xludf.DUMMYFUNCTION("""COMPUTED_VALUE"""),"Comunicação e territorialidades: poder e cultura redes e mídias")</f>
        <v>Comunicação e territorialidades: poder e cultura redes e mídias</v>
      </c>
      <c r="B100" s="24" t="str">
        <f>IFERROR(__xludf.DUMMYFUNCTION("""COMPUTED_VALUE"""),"Daniela Zanetti e Ruth Reis (org.)")</f>
        <v>Daniela Zanetti e Ruth Reis (org.)</v>
      </c>
      <c r="C100" s="24" t="str">
        <f>IFERROR(__xludf.DUMMYFUNCTION("""COMPUTED_VALUE"""),"Vitória")</f>
        <v>Vitória</v>
      </c>
      <c r="D100" s="24" t="str">
        <f>IFERROR(__xludf.DUMMYFUNCTION("""COMPUTED_VALUE"""),"EDUFES")</f>
        <v>EDUFES</v>
      </c>
      <c r="E100" s="25">
        <f>IFERROR(__xludf.DUMMYFUNCTION("""COMPUTED_VALUE"""),2017.0)</f>
        <v>2017</v>
      </c>
      <c r="F100" s="24" t="str">
        <f>IFERROR(__xludf.DUMMYFUNCTION("""COMPUTED_VALUE"""),"Comunicação; Política de comunicação; Redes sociais; Mídia")</f>
        <v>Comunicação; Política de comunicação; Redes sociais; Mídia</v>
      </c>
      <c r="G100" s="28" t="str">
        <f>IFERROR(__xludf.DUMMYFUNCTION("""COMPUTED_VALUE"""),"9788577723638")</f>
        <v>9788577723638</v>
      </c>
      <c r="H100" s="29" t="str">
        <f>IFERROR(__xludf.DUMMYFUNCTION("""COMPUTED_VALUE"""),"http://repositorio.ufes.br/bitstream/10/6841/1/Comunica%C3%A7%C3%A3o%20e%20territorialidades_poder%20e%20cultura%2C%20redes%20e%20m%C3%ADdias.pdf")</f>
        <v>http://repositorio.ufes.br/bitstream/10/6841/1/Comunica%C3%A7%C3%A3o%20e%20territorialidades_poder%20e%20cultura%2C%20redes%20e%20m%C3%ADdias.pdf</v>
      </c>
      <c r="I100" s="24" t="str">
        <f>IFERROR(__xludf.DUMMYFUNCTION("""COMPUTED_VALUE"""),"Ciências Sociais Aplicadas")</f>
        <v>Ciências Sociais Aplicadas</v>
      </c>
    </row>
    <row r="101">
      <c r="A101" s="24" t="str">
        <f>IFERROR(__xludf.DUMMYFUNCTION("""COMPUTED_VALUE"""),"Comunicação pública em debate: ouvidoria e rádio")</f>
        <v>Comunicação pública em debate: ouvidoria e rádio</v>
      </c>
      <c r="B101" s="24" t="str">
        <f>IFERROR(__xludf.DUMMYFUNCTION("""COMPUTED_VALUE"""),"Fernando Oliveira Paulino, Luiz Martins da Silva, organizadores")</f>
        <v>Fernando Oliveira Paulino, Luiz Martins da Silva, organizadores</v>
      </c>
      <c r="C101" s="24" t="str">
        <f>IFERROR(__xludf.DUMMYFUNCTION("""COMPUTED_VALUE"""),"Brasília")</f>
        <v>Brasília</v>
      </c>
      <c r="D101" s="24" t="str">
        <f>IFERROR(__xludf.DUMMYFUNCTION("""COMPUTED_VALUE"""),"Editora Universidade de Brasília")</f>
        <v>Editora Universidade de Brasília</v>
      </c>
      <c r="E101" s="25">
        <f>IFERROR(__xludf.DUMMYFUNCTION("""COMPUTED_VALUE"""),2013.0)</f>
        <v>2013</v>
      </c>
      <c r="F101" s="24" t="str">
        <f>IFERROR(__xludf.DUMMYFUNCTION("""COMPUTED_VALUE"""),"Comunicação; Comunicação pública; Ouvidoria; Rádio")</f>
        <v>Comunicação; Comunicação pública; Ouvidoria; Rádio</v>
      </c>
      <c r="G101" s="28" t="str">
        <f>IFERROR(__xludf.DUMMYFUNCTION("""COMPUTED_VALUE"""),"9788523010973")</f>
        <v>9788523010973</v>
      </c>
      <c r="H101" s="29" t="str">
        <f>IFERROR(__xludf.DUMMYFUNCTION("""COMPUTED_VALUE"""),"https://livros.unb.br/index.php/portal/catalog/view/8/9/40-1")</f>
        <v>https://livros.unb.br/index.php/portal/catalog/view/8/9/40-1</v>
      </c>
      <c r="I101" s="24" t="str">
        <f>IFERROR(__xludf.DUMMYFUNCTION("""COMPUTED_VALUE"""),"Ciências Sociais Aplicadas")</f>
        <v>Ciências Sociais Aplicadas</v>
      </c>
    </row>
    <row r="102">
      <c r="A102" s="24" t="str">
        <f>IFERROR(__xludf.DUMMYFUNCTION("""COMPUTED_VALUE"""),"Comunicação, Mercado e Tecnologia")</f>
        <v>Comunicação, Mercado e Tecnologia</v>
      </c>
      <c r="B102" s="24" t="str">
        <f>IFERROR(__xludf.DUMMYFUNCTION("""COMPUTED_VALUE"""),"Claudia Maria Arantes Assis, Jefferson Ferreira Saar, Rafael Vergili (org.)")</f>
        <v>Claudia Maria Arantes Assis, Jefferson Ferreira Saar, Rafael Vergili (org.)</v>
      </c>
      <c r="C102" s="24" t="str">
        <f>IFERROR(__xludf.DUMMYFUNCTION("""COMPUTED_VALUE"""),"Macapá")</f>
        <v>Macapá</v>
      </c>
      <c r="D102" s="24" t="str">
        <f>IFERROR(__xludf.DUMMYFUNCTION("""COMPUTED_VALUE"""),"UNIFAP")</f>
        <v>UNIFAP</v>
      </c>
      <c r="E102" s="25">
        <f>IFERROR(__xludf.DUMMYFUNCTION("""COMPUTED_VALUE"""),2015.0)</f>
        <v>2015</v>
      </c>
      <c r="F102" s="24" t="str">
        <f>IFERROR(__xludf.DUMMYFUNCTION("""COMPUTED_VALUE"""),"Comunicações digitais - aspectos sociais; Comunicação organizacional; Comunicação e mercado; Comunicação e tecnologia; Convergência midiática")</f>
        <v>Comunicações digitais - aspectos sociais; Comunicação organizacional; Comunicação e mercado; Comunicação e tecnologia; Convergência midiática</v>
      </c>
      <c r="G102" s="28" t="str">
        <f>IFERROR(__xludf.DUMMYFUNCTION("""COMPUTED_VALUE"""),"9788562359359")</f>
        <v>9788562359359</v>
      </c>
      <c r="H102" s="29" t="str">
        <f>IFERROR(__xludf.DUMMYFUNCTION("""COMPUTED_VALUE"""),"https://www2.unifap.br/editora/files/2015/09/livroclaudia2015.pdf")</f>
        <v>https://www2.unifap.br/editora/files/2015/09/livroclaudia2015.pdf</v>
      </c>
      <c r="I102" s="24" t="str">
        <f>IFERROR(__xludf.DUMMYFUNCTION("""COMPUTED_VALUE"""),"Ciências Sociais Aplicadas")</f>
        <v>Ciências Sociais Aplicadas</v>
      </c>
    </row>
    <row r="103">
      <c r="A103" s="24" t="str">
        <f>IFERROR(__xludf.DUMMYFUNCTION("""COMPUTED_VALUE"""),"Comunicação, organizações e cultura digital")</f>
        <v>Comunicação, organizações e cultura digital</v>
      </c>
      <c r="B103" s="24" t="str">
        <f>IFERROR(__xludf.DUMMYFUNCTION("""COMPUTED_VALUE"""),"Fernando Gonçalves, Antonio Luiz de Medina Filho (Orgs.)")</f>
        <v>Fernando Gonçalves, Antonio Luiz de Medina Filho (Orgs.)</v>
      </c>
      <c r="C103" s="24" t="str">
        <f>IFERROR(__xludf.DUMMYFUNCTION("""COMPUTED_VALUE"""),"Rio de Janeiro")</f>
        <v>Rio de Janeiro</v>
      </c>
      <c r="D103" s="24" t="str">
        <f>IFERROR(__xludf.DUMMYFUNCTION("""COMPUTED_VALUE"""),"EdUERJ")</f>
        <v>EdUERJ</v>
      </c>
      <c r="E103" s="25">
        <f>IFERROR(__xludf.DUMMYFUNCTION("""COMPUTED_VALUE"""),2015.0)</f>
        <v>2015</v>
      </c>
      <c r="F103" s="24" t="str">
        <f>IFERROR(__xludf.DUMMYFUNCTION("""COMPUTED_VALUE"""),"Comunicação; Aspectos sociais; Cultura;. Interação social")</f>
        <v>Comunicação; Aspectos sociais; Cultura;. Interação social</v>
      </c>
      <c r="G103" s="28" t="str">
        <f>IFERROR(__xludf.DUMMYFUNCTION("""COMPUTED_VALUE"""),"9788575113790")</f>
        <v>9788575113790</v>
      </c>
      <c r="H103" s="29" t="str">
        <f>IFERROR(__xludf.DUMMYFUNCTION("""COMPUTED_VALUE"""),"https://www.eduerj.com/eng/?product=comunicacao-organizacoes-e-cultura-digital-ebook")</f>
        <v>https://www.eduerj.com/eng/?product=comunicacao-organizacoes-e-cultura-digital-ebook</v>
      </c>
      <c r="I103" s="24" t="str">
        <f>IFERROR(__xludf.DUMMYFUNCTION("""COMPUTED_VALUE"""),"Ciências Sociais Aplicadas")</f>
        <v>Ciências Sociais Aplicadas</v>
      </c>
    </row>
    <row r="104">
      <c r="A104" s="24" t="str">
        <f>IFERROR(__xludf.DUMMYFUNCTION("""COMPUTED_VALUE"""),"Conhecimento em pauta: artigos científicos especialização 2017/2")</f>
        <v>Conhecimento em pauta: artigos científicos especialização 2017/2</v>
      </c>
      <c r="B104" s="24" t="str">
        <f>IFERROR(__xludf.DUMMYFUNCTION("""COMPUTED_VALUE"""),"Diego Beal, Celso Paulo Costa, Daiane Pavan, Inocencia Boita Dalbosco Gilberto Pinzetta")</f>
        <v>Diego Beal, Celso Paulo Costa, Daiane Pavan, Inocencia Boita Dalbosco Gilberto Pinzetta</v>
      </c>
      <c r="C104" s="24" t="str">
        <f>IFERROR(__xludf.DUMMYFUNCTION("""COMPUTED_VALUE"""),"Joaçaba")</f>
        <v>Joaçaba</v>
      </c>
      <c r="D104" s="24" t="str">
        <f>IFERROR(__xludf.DUMMYFUNCTION("""COMPUTED_VALUE"""),"Unoesc")</f>
        <v>Unoesc</v>
      </c>
      <c r="E104" s="25">
        <f>IFERROR(__xludf.DUMMYFUNCTION("""COMPUTED_VALUE"""),2017.0)</f>
        <v>2017</v>
      </c>
      <c r="F104" s="24" t="str">
        <f>IFERROR(__xludf.DUMMYFUNCTION("""COMPUTED_VALUE"""),"Ensino superior - Pesquisa, Conhecimento")</f>
        <v>Ensino superior - Pesquisa, Conhecimento</v>
      </c>
      <c r="G104" s="28" t="str">
        <f>IFERROR(__xludf.DUMMYFUNCTION("""COMPUTED_VALUE"""),"9788584221714")</f>
        <v>9788584221714</v>
      </c>
      <c r="H104" s="29" t="str">
        <f>IFERROR(__xludf.DUMMYFUNCTION("""COMPUTED_VALUE"""),"https://www.unoesc.edu.br/images/uploads/editora/Colet%c3%a2nea_de_artigos_conhecimento_em_pauta_.pdf")</f>
        <v>https://www.unoesc.edu.br/images/uploads/editora/Colet%c3%a2nea_de_artigos_conhecimento_em_pauta_.pdf</v>
      </c>
      <c r="I104" s="24" t="str">
        <f>IFERROR(__xludf.DUMMYFUNCTION("""COMPUTED_VALUE"""),"Ciências Sociais Aplicadas")</f>
        <v>Ciências Sociais Aplicadas</v>
      </c>
    </row>
    <row r="105">
      <c r="A105" s="24" t="str">
        <f>IFERROR(__xludf.DUMMYFUNCTION("""COMPUTED_VALUE"""),"Conhecimento em pauta: artigos científicos especialização 2018/2")</f>
        <v>Conhecimento em pauta: artigos científicos especialização 2018/2</v>
      </c>
      <c r="B105" s="24" t="str">
        <f>IFERROR(__xludf.DUMMYFUNCTION("""COMPUTED_VALUE"""),"Diego Beal, Celso Paulo Costa, Daiane Pavan, Inocencia Boita Dalbosco e Gilberto Pinzetta")</f>
        <v>Diego Beal, Celso Paulo Costa, Daiane Pavan, Inocencia Boita Dalbosco e Gilberto Pinzetta</v>
      </c>
      <c r="C105" s="24" t="str">
        <f>IFERROR(__xludf.DUMMYFUNCTION("""COMPUTED_VALUE"""),"Joaçaba")</f>
        <v>Joaçaba</v>
      </c>
      <c r="D105" s="24" t="str">
        <f>IFERROR(__xludf.DUMMYFUNCTION("""COMPUTED_VALUE"""),"Unoesc")</f>
        <v>Unoesc</v>
      </c>
      <c r="E105" s="25">
        <f>IFERROR(__xludf.DUMMYFUNCTION("""COMPUTED_VALUE"""),2018.0)</f>
        <v>2018</v>
      </c>
      <c r="F105" s="24" t="str">
        <f>IFERROR(__xludf.DUMMYFUNCTION("""COMPUTED_VALUE"""),"Ensino Superior - Pesquisa")</f>
        <v>Ensino Superior - Pesquisa</v>
      </c>
      <c r="G105" s="28" t="str">
        <f>IFERROR(__xludf.DUMMYFUNCTION("""COMPUTED_VALUE"""),"9788584221981")</f>
        <v>9788584221981</v>
      </c>
      <c r="H105" s="29" t="str">
        <f>IFERROR(__xludf.DUMMYFUNCTION("""COMPUTED_VALUE"""),"https://www.unoesc.edu.br/images/uploads/editora/Geral_Conhecimento_em_pauta_2018_2.pdf")</f>
        <v>https://www.unoesc.edu.br/images/uploads/editora/Geral_Conhecimento_em_pauta_2018_2.pdf</v>
      </c>
      <c r="I105" s="24" t="str">
        <f>IFERROR(__xludf.DUMMYFUNCTION("""COMPUTED_VALUE"""),"Ciências Sociais Aplicadas")</f>
        <v>Ciências Sociais Aplicadas</v>
      </c>
    </row>
    <row r="106">
      <c r="A106" s="24" t="str">
        <f>IFERROR(__xludf.DUMMYFUNCTION("""COMPUTED_VALUE"""),"Conhecimento em pauta: artigos científicos especialização 2019/1")</f>
        <v>Conhecimento em pauta: artigos científicos especialização 2019/1</v>
      </c>
      <c r="B106" s="24" t="str">
        <f>IFERROR(__xludf.DUMMYFUNCTION("""COMPUTED_VALUE"""),"Diego Beal, Celso Paulo Costa, Daiane Pavan, Inocencia Boita Dalbosco e Gilberto Pinzetta")</f>
        <v>Diego Beal, Celso Paulo Costa, Daiane Pavan, Inocencia Boita Dalbosco e Gilberto Pinzetta</v>
      </c>
      <c r="C106" s="24" t="str">
        <f>IFERROR(__xludf.DUMMYFUNCTION("""COMPUTED_VALUE"""),"Joaçaba")</f>
        <v>Joaçaba</v>
      </c>
      <c r="D106" s="24" t="str">
        <f>IFERROR(__xludf.DUMMYFUNCTION("""COMPUTED_VALUE"""),"Unoesc")</f>
        <v>Unoesc</v>
      </c>
      <c r="E106" s="25">
        <f>IFERROR(__xludf.DUMMYFUNCTION("""COMPUTED_VALUE"""),2019.0)</f>
        <v>2019</v>
      </c>
      <c r="F106" s="24" t="str">
        <f>IFERROR(__xludf.DUMMYFUNCTION("""COMPUTED_VALUE"""),"Ensino Superior, Pesquisa")</f>
        <v>Ensino Superior, Pesquisa</v>
      </c>
      <c r="G106" s="28" t="str">
        <f>IFERROR(__xludf.DUMMYFUNCTION("""COMPUTED_VALUE"""),"9788584222285")</f>
        <v>9788584222285</v>
      </c>
      <c r="H106" s="29" t="str">
        <f>IFERROR(__xludf.DUMMYFUNCTION("""COMPUTED_VALUE"""),"https://www.unoesc.edu.br/images/uploads/editora/Conhecimento_em_pauta_-_p%c3%b3s_gradua%c3%a7%c3%a3o_2019_2.pdf")</f>
        <v>https://www.unoesc.edu.br/images/uploads/editora/Conhecimento_em_pauta_-_p%c3%b3s_gradua%c3%a7%c3%a3o_2019_2.pdf</v>
      </c>
      <c r="I106" s="24" t="str">
        <f>IFERROR(__xludf.DUMMYFUNCTION("""COMPUTED_VALUE"""),"Ciências Sociais Aplicadas")</f>
        <v>Ciências Sociais Aplicadas</v>
      </c>
    </row>
    <row r="107">
      <c r="A107" s="24" t="str">
        <f>IFERROR(__xludf.DUMMYFUNCTION("""COMPUTED_VALUE"""),"Conhecimento em pauta: artigos científicos graduação 2017/1")</f>
        <v>Conhecimento em pauta: artigos científicos graduação 2017/1</v>
      </c>
      <c r="B107" s="24" t="str">
        <f>IFERROR(__xludf.DUMMYFUNCTION("""COMPUTED_VALUE"""),"Diego Beal, Celso Paulo Costa, Daiane Pavan, Gilberto Pinzetta")</f>
        <v>Diego Beal, Celso Paulo Costa, Daiane Pavan, Gilberto Pinzetta</v>
      </c>
      <c r="C107" s="24" t="str">
        <f>IFERROR(__xludf.DUMMYFUNCTION("""COMPUTED_VALUE"""),"Joaçaba")</f>
        <v>Joaçaba</v>
      </c>
      <c r="D107" s="24" t="str">
        <f>IFERROR(__xludf.DUMMYFUNCTION("""COMPUTED_VALUE"""),"Unoesc")</f>
        <v>Unoesc</v>
      </c>
      <c r="E107" s="25">
        <f>IFERROR(__xludf.DUMMYFUNCTION("""COMPUTED_VALUE"""),2017.0)</f>
        <v>2017</v>
      </c>
      <c r="F107" s="24" t="str">
        <f>IFERROR(__xludf.DUMMYFUNCTION("""COMPUTED_VALUE"""),"Ensino superior - Pesquisa, Conhecimento")</f>
        <v>Ensino superior - Pesquisa, Conhecimento</v>
      </c>
      <c r="G107" s="28" t="str">
        <f>IFERROR(__xludf.DUMMYFUNCTION("""COMPUTED_VALUE"""),"9788584221332")</f>
        <v>9788584221332</v>
      </c>
      <c r="H107" s="29" t="str">
        <f>IFERROR(__xludf.DUMMYFUNCTION("""COMPUTED_VALUE"""),"https://www.unoesc.edu.br/images/uploads/editora/CCP_Gradua%c3%a7%c3%a3o_2017_.pdf")</f>
        <v>https://www.unoesc.edu.br/images/uploads/editora/CCP_Gradua%c3%a7%c3%a3o_2017_.pdf</v>
      </c>
      <c r="I107" s="24" t="str">
        <f>IFERROR(__xludf.DUMMYFUNCTION("""COMPUTED_VALUE"""),"Ciências Sociais Aplicadas")</f>
        <v>Ciências Sociais Aplicadas</v>
      </c>
    </row>
    <row r="108">
      <c r="A108" s="24" t="str">
        <f>IFERROR(__xludf.DUMMYFUNCTION("""COMPUTED_VALUE"""),"Conhecimento em pauta: artigos científicos graduação 2018/0")</f>
        <v>Conhecimento em pauta: artigos científicos graduação 2018/0</v>
      </c>
      <c r="B108" s="24" t="str">
        <f>IFERROR(__xludf.DUMMYFUNCTION("""COMPUTED_VALUE"""),"Diego Beal, Celso Paulo Costa, Daiane Pavan, Inocencia Boita Dalbosco e Gilberto Pinzetta")</f>
        <v>Diego Beal, Celso Paulo Costa, Daiane Pavan, Inocencia Boita Dalbosco e Gilberto Pinzetta</v>
      </c>
      <c r="C108" s="24" t="str">
        <f>IFERROR(__xludf.DUMMYFUNCTION("""COMPUTED_VALUE"""),"Joaçaba")</f>
        <v>Joaçaba</v>
      </c>
      <c r="D108" s="24" t="str">
        <f>IFERROR(__xludf.DUMMYFUNCTION("""COMPUTED_VALUE"""),"Unoesc")</f>
        <v>Unoesc</v>
      </c>
      <c r="E108" s="25">
        <f>IFERROR(__xludf.DUMMYFUNCTION("""COMPUTED_VALUE"""),2018.0)</f>
        <v>2018</v>
      </c>
      <c r="F108" s="24" t="str">
        <f>IFERROR(__xludf.DUMMYFUNCTION("""COMPUTED_VALUE"""),"Ensino superior - Pesquisa, Conhecimento")</f>
        <v>Ensino superior - Pesquisa, Conhecimento</v>
      </c>
      <c r="G108" s="28" t="str">
        <f>IFERROR(__xludf.DUMMYFUNCTION("""COMPUTED_VALUE"""),"9788584221899")</f>
        <v>9788584221899</v>
      </c>
      <c r="H108" s="29" t="str">
        <f>IFERROR(__xludf.DUMMYFUNCTION("""COMPUTED_VALUE"""),"https://www.unoesc.edu.br/images/uploads/editora/Conhecimento_em_Pauta_Gradua%c3%a7%c3%a3o_2018_1.pdf")</f>
        <v>https://www.unoesc.edu.br/images/uploads/editora/Conhecimento_em_Pauta_Gradua%c3%a7%c3%a3o_2018_1.pdf</v>
      </c>
      <c r="I108" s="24" t="str">
        <f>IFERROR(__xludf.DUMMYFUNCTION("""COMPUTED_VALUE"""),"Ciências Sociais Aplicadas")</f>
        <v>Ciências Sociais Aplicadas</v>
      </c>
    </row>
    <row r="109">
      <c r="A109" s="24" t="str">
        <f>IFERROR(__xludf.DUMMYFUNCTION("""COMPUTED_VALUE"""),"Conhecimento em pauta: artigos científicos graduação 2019/1")</f>
        <v>Conhecimento em pauta: artigos científicos graduação 2019/1</v>
      </c>
      <c r="B109" s="24" t="str">
        <f>IFERROR(__xludf.DUMMYFUNCTION("""COMPUTED_VALUE"""),"Diego Beal, Celso Paulo Costa, Daiane Pavan, Inocencia Boita Dalbosco e Gilberto Pinzetta")</f>
        <v>Diego Beal, Celso Paulo Costa, Daiane Pavan, Inocencia Boita Dalbosco e Gilberto Pinzetta</v>
      </c>
      <c r="C109" s="24" t="str">
        <f>IFERROR(__xludf.DUMMYFUNCTION("""COMPUTED_VALUE"""),"Joaçaba")</f>
        <v>Joaçaba</v>
      </c>
      <c r="D109" s="24" t="str">
        <f>IFERROR(__xludf.DUMMYFUNCTION("""COMPUTED_VALUE"""),"Unoesc")</f>
        <v>Unoesc</v>
      </c>
      <c r="E109" s="25">
        <f>IFERROR(__xludf.DUMMYFUNCTION("""COMPUTED_VALUE"""),2019.0)</f>
        <v>2019</v>
      </c>
      <c r="F109" s="24" t="str">
        <f>IFERROR(__xludf.DUMMYFUNCTION("""COMPUTED_VALUE"""),"Ensino Superior - Pesquisa")</f>
        <v>Ensino Superior - Pesquisa</v>
      </c>
      <c r="G109" s="28" t="str">
        <f>IFERROR(__xludf.DUMMYFUNCTION("""COMPUTED_VALUE"""),"9788584222094")</f>
        <v>9788584222094</v>
      </c>
      <c r="H109" s="29" t="str">
        <f>IFERROR(__xludf.DUMMYFUNCTION("""COMPUTED_VALUE"""),"https://www.unoesc.edu.br/images/uploads/editora/Conhecimento_em_pauta_-_gradua%c3%a7%c3%a3o_2019_1.pdf")</f>
        <v>https://www.unoesc.edu.br/images/uploads/editora/Conhecimento_em_pauta_-_gradua%c3%a7%c3%a3o_2019_1.pdf</v>
      </c>
      <c r="I109" s="24" t="str">
        <f>IFERROR(__xludf.DUMMYFUNCTION("""COMPUTED_VALUE"""),"Ciências Sociais Aplicadas")</f>
        <v>Ciências Sociais Aplicadas</v>
      </c>
    </row>
    <row r="110">
      <c r="A110" s="24" t="str">
        <f>IFERROR(__xludf.DUMMYFUNCTION("""COMPUTED_VALUE"""),"Conhecimento, sociabilidade e humanidade")</f>
        <v>Conhecimento, sociabilidade e humanidade</v>
      </c>
      <c r="B110" s="24" t="str">
        <f>IFERROR(__xludf.DUMMYFUNCTION("""COMPUTED_VALUE"""),"Verônica Almeida de Oliveira Lima; Robéria Nádia Araújo Nascimento; Joaquim José Jacinto Escola (org.)")</f>
        <v>Verônica Almeida de Oliveira Lima; Robéria Nádia Araújo Nascimento; Joaquim José Jacinto Escola (org.)</v>
      </c>
      <c r="C110" s="24" t="str">
        <f>IFERROR(__xludf.DUMMYFUNCTION("""COMPUTED_VALUE"""),"Campina Grande")</f>
        <v>Campina Grande</v>
      </c>
      <c r="D110" s="24" t="str">
        <f>IFERROR(__xludf.DUMMYFUNCTION("""COMPUTED_VALUE"""),"EDUEPB")</f>
        <v>EDUEPB</v>
      </c>
      <c r="E110" s="25">
        <f>IFERROR(__xludf.DUMMYFUNCTION("""COMPUTED_VALUE"""),2019.0)</f>
        <v>2019</v>
      </c>
      <c r="F110" s="24" t="str">
        <f>IFERROR(__xludf.DUMMYFUNCTION("""COMPUTED_VALUE"""),"Tecnologias - Aspectos sociais. Sociabilidade educativa. Educomunicação. Tecnologias de comunicação e informação (TICs). Ciberbullying")</f>
        <v>Tecnologias - Aspectos sociais. Sociabilidade educativa. Educomunicação. Tecnologias de comunicação e informação (TICs). Ciberbullying</v>
      </c>
      <c r="G110" s="28" t="str">
        <f>IFERROR(__xludf.DUMMYFUNCTION("""COMPUTED_VALUE"""),"9788578793821")</f>
        <v>9788578793821</v>
      </c>
      <c r="H110" s="29" t="str">
        <f>IFERROR(__xludf.DUMMYFUNCTION("""COMPUTED_VALUE"""),"http://eduepb.uepb.edu.br/download/conhecimento-sociabilidade-e-humanidade-2/?wpdmdl=743&amp;amp;masterkey=5d1a0bfb9a4c1")</f>
        <v>http://eduepb.uepb.edu.br/download/conhecimento-sociabilidade-e-humanidade-2/?wpdmdl=743&amp;amp;masterkey=5d1a0bfb9a4c1</v>
      </c>
      <c r="I110" s="24" t="str">
        <f>IFERROR(__xludf.DUMMYFUNCTION("""COMPUTED_VALUE"""),"Ciências Sociais Aplicadas")</f>
        <v>Ciências Sociais Aplicadas</v>
      </c>
    </row>
    <row r="111">
      <c r="A111" s="24" t="str">
        <f>IFERROR(__xludf.DUMMYFUNCTION("""COMPUTED_VALUE"""),"Conselhos Tutelares: desafios teóricos e práticos da garantia de direitos da criança e do adolescente")</f>
        <v>Conselhos Tutelares: desafios teóricos e práticos da garantia de direitos da criança e do adolescente</v>
      </c>
      <c r="B111" s="24" t="str">
        <f>IFERROR(__xludf.DUMMYFUNCTION("""COMPUTED_VALUE"""),"Rodrigo de Souza Filho, Benedito Rodrigues dos Santo,; Maria Lúcia Duriguetto")</f>
        <v>Rodrigo de Souza Filho, Benedito Rodrigues dos Santo,; Maria Lúcia Duriguetto</v>
      </c>
      <c r="C111" s="24" t="str">
        <f>IFERROR(__xludf.DUMMYFUNCTION("""COMPUTED_VALUE"""),"Juiz de Fora")</f>
        <v>Juiz de Fora</v>
      </c>
      <c r="D111" s="24" t="str">
        <f>IFERROR(__xludf.DUMMYFUNCTION("""COMPUTED_VALUE"""),"Editora UFJF")</f>
        <v>Editora UFJF</v>
      </c>
      <c r="E111" s="25">
        <f>IFERROR(__xludf.DUMMYFUNCTION("""COMPUTED_VALUE"""),2011.0)</f>
        <v>2011</v>
      </c>
      <c r="F111" s="24" t="str">
        <f>IFERROR(__xludf.DUMMYFUNCTION("""COMPUTED_VALUE"""),"Direitos da crianaças, Direitos dos adolescentes, Estatuto da criança e do adolescente, Conselho tutelar")</f>
        <v>Direitos da crianaças, Direitos dos adolescentes, Estatuto da criança e do adolescente, Conselho tutelar</v>
      </c>
      <c r="G111" s="28" t="str">
        <f>IFERROR(__xludf.DUMMYFUNCTION("""COMPUTED_VALUE"""),"9788576721253")</f>
        <v>9788576721253</v>
      </c>
      <c r="H111" s="29" t="str">
        <f>IFERROR(__xludf.DUMMYFUNCTION("""COMPUTED_VALUE"""),"http://www2.ufjf.br/editora/wp-content/uploads/sites/113/2018/02/conselhos_tutelares.pdf")</f>
        <v>http://www2.ufjf.br/editora/wp-content/uploads/sites/113/2018/02/conselhos_tutelares.pdf</v>
      </c>
      <c r="I111" s="24" t="str">
        <f>IFERROR(__xludf.DUMMYFUNCTION("""COMPUTED_VALUE"""),"Ciências Sociais Aplicadas")</f>
        <v>Ciências Sociais Aplicadas</v>
      </c>
    </row>
    <row r="112">
      <c r="A112" s="24" t="str">
        <f>IFERROR(__xludf.DUMMYFUNCTION("""COMPUTED_VALUE"""),"Considerações sobre o direito fundamental à própria imagem")</f>
        <v>Considerações sobre o direito fundamental à própria imagem</v>
      </c>
      <c r="B112" s="24" t="str">
        <f>IFERROR(__xludf.DUMMYFUNCTION("""COMPUTED_VALUE"""),"Marco Aurélio Rodrigues da Cunha e Cruz, Cristhian Magnus De Marco")</f>
        <v>Marco Aurélio Rodrigues da Cunha e Cruz, Cristhian Magnus De Marco</v>
      </c>
      <c r="C112" s="24" t="str">
        <f>IFERROR(__xludf.DUMMYFUNCTION("""COMPUTED_VALUE"""),"Joaçaba")</f>
        <v>Joaçaba</v>
      </c>
      <c r="D112" s="24" t="str">
        <f>IFERROR(__xludf.DUMMYFUNCTION("""COMPUTED_VALUE"""),"Unoesc")</f>
        <v>Unoesc</v>
      </c>
      <c r="E112" s="25">
        <f>IFERROR(__xludf.DUMMYFUNCTION("""COMPUTED_VALUE"""),2017.0)</f>
        <v>2017</v>
      </c>
      <c r="F112" s="24" t="str">
        <f>IFERROR(__xludf.DUMMYFUNCTION("""COMPUTED_VALUE"""),"Direitos fundamentais, Direitos à própria; imagem")</f>
        <v>Direitos fundamentais, Direitos à própria; imagem</v>
      </c>
      <c r="G112" s="28" t="str">
        <f>IFERROR(__xludf.DUMMYFUNCTION("""COMPUTED_VALUE"""),"9788584221424")</f>
        <v>9788584221424</v>
      </c>
      <c r="H112" s="29" t="str">
        <f>IFERROR(__xludf.DUMMYFUNCTION("""COMPUTED_VALUE"""),"https://www.unoesc.edu.br/images/uploads/editora/Consideracoes_sobre_o_direito_fundamental_a_propria.pdf")</f>
        <v>https://www.unoesc.edu.br/images/uploads/editora/Consideracoes_sobre_o_direito_fundamental_a_propria.pdf</v>
      </c>
      <c r="I112" s="24" t="str">
        <f>IFERROR(__xludf.DUMMYFUNCTION("""COMPUTED_VALUE"""),"Ciências Sociais Aplicadas")</f>
        <v>Ciências Sociais Aplicadas</v>
      </c>
    </row>
    <row r="113">
      <c r="A113" s="24" t="str">
        <f>IFERROR(__xludf.DUMMYFUNCTION("""COMPUTED_VALUE"""),"Consórcio intermunicipal de saúde, um estudo em representações sociais")</f>
        <v>Consórcio intermunicipal de saúde, um estudo em representações sociais</v>
      </c>
      <c r="B113" s="24" t="str">
        <f>IFERROR(__xludf.DUMMYFUNCTION("""COMPUTED_VALUE"""),"José Ricarte de Lima")</f>
        <v>José Ricarte de Lima</v>
      </c>
      <c r="C113" s="24" t="str">
        <f>IFERROR(__xludf.DUMMYFUNCTION("""COMPUTED_VALUE"""),"Cáceres")</f>
        <v>Cáceres</v>
      </c>
      <c r="D113" s="24" t="str">
        <f>IFERROR(__xludf.DUMMYFUNCTION("""COMPUTED_VALUE"""),"UNEMAT")</f>
        <v>UNEMAT</v>
      </c>
      <c r="E113" s="25">
        <f>IFERROR(__xludf.DUMMYFUNCTION("""COMPUTED_VALUE"""),2014.0)</f>
        <v>2014</v>
      </c>
      <c r="F113" s="24" t="str">
        <f>IFERROR(__xludf.DUMMYFUNCTION("""COMPUTED_VALUE"""),"Ciências Socias")</f>
        <v>Ciências Socias</v>
      </c>
      <c r="G113" s="28" t="str">
        <f>IFERROR(__xludf.DUMMYFUNCTION("""COMPUTED_VALUE"""),"9788579111426")</f>
        <v>9788579111426</v>
      </c>
      <c r="H113" s="29" t="str">
        <f>IFERROR(__xludf.DUMMYFUNCTION("""COMPUTED_VALUE"""),"http://www.unemat.br/reitoria/editora/downloads/eletronico/livro_jose_ricarte1.pdf")</f>
        <v>http://www.unemat.br/reitoria/editora/downloads/eletronico/livro_jose_ricarte1.pdf</v>
      </c>
      <c r="I113" s="24" t="str">
        <f>IFERROR(__xludf.DUMMYFUNCTION("""COMPUTED_VALUE"""),"Ciências Sociais Aplicadas")</f>
        <v>Ciências Sociais Aplicadas</v>
      </c>
    </row>
    <row r="114">
      <c r="A114" s="24" t="str">
        <f>IFERROR(__xludf.DUMMYFUNCTION("""COMPUTED_VALUE"""),"Constitucionalismo pós-moderno &amp; sociedade global e complexa: (co)relação com o direito internacional dos direitos humanos")</f>
        <v>Constitucionalismo pós-moderno &amp; sociedade global e complexa: (co)relação com o direito internacional dos direitos humanos</v>
      </c>
      <c r="B114" s="24" t="str">
        <f>IFERROR(__xludf.DUMMYFUNCTION("""COMPUTED_VALUE"""),"Leonel Severo Rocha, Cristhian Magnus De Marco, Paulo Junior Trindade dos Santos")</f>
        <v>Leonel Severo Rocha, Cristhian Magnus De Marco, Paulo Junior Trindade dos Santos</v>
      </c>
      <c r="C114" s="24" t="str">
        <f>IFERROR(__xludf.DUMMYFUNCTION("""COMPUTED_VALUE"""),"Joaçaba")</f>
        <v>Joaçaba</v>
      </c>
      <c r="D114" s="24" t="str">
        <f>IFERROR(__xludf.DUMMYFUNCTION("""COMPUTED_VALUE"""),"Unoesc")</f>
        <v>Unoesc</v>
      </c>
      <c r="E114" s="25"/>
      <c r="F114" s="24" t="str">
        <f>IFERROR(__xludf.DUMMYFUNCTION("""COMPUTED_VALUE"""),"Direito constitucional, Direitos humanos, Democracia")</f>
        <v>Direito constitucional, Direitos humanos, Democracia</v>
      </c>
      <c r="G114" s="28" t="str">
        <f>IFERROR(__xludf.DUMMYFUNCTION("""COMPUTED_VALUE"""),"9788584222223")</f>
        <v>9788584222223</v>
      </c>
      <c r="H114" s="29" t="str">
        <f>IFERROR(__xludf.DUMMYFUNCTION("""COMPUTED_VALUE"""),"https://www.unoesc.edu.br/images/uploads/editora/Miolo_Constitucionalismo_Pós-moderno.pdf")</f>
        <v>https://www.unoesc.edu.br/images/uploads/editora/Miolo_Constitucionalismo_Pós-moderno.pdf</v>
      </c>
      <c r="I114" s="24" t="str">
        <f>IFERROR(__xludf.DUMMYFUNCTION("""COMPUTED_VALUE"""),"Ciências Sociais Aplicadas")</f>
        <v>Ciências Sociais Aplicadas</v>
      </c>
    </row>
    <row r="115">
      <c r="A115" s="24" t="str">
        <f>IFERROR(__xludf.DUMMYFUNCTION("""COMPUTED_VALUE"""),"Consumo domiciliar de alimentos: inluência de fatores socioeconômicos e do custo de oportunidade do tempo da mulher.")</f>
        <v>Consumo domiciliar de alimentos: inluência de fatores socioeconômicos e do custo de oportunidade do tempo da mulher.</v>
      </c>
      <c r="B115" s="24" t="str">
        <f>IFERROR(__xludf.DUMMYFUNCTION("""COMPUTED_VALUE"""),"Madalena Maria Schlindwein")</f>
        <v>Madalena Maria Schlindwein</v>
      </c>
      <c r="C115" s="24" t="str">
        <f>IFERROR(__xludf.DUMMYFUNCTION("""COMPUTED_VALUE"""),"Dourados, MS")</f>
        <v>Dourados, MS</v>
      </c>
      <c r="D115" s="24" t="str">
        <f>IFERROR(__xludf.DUMMYFUNCTION("""COMPUTED_VALUE"""),"Ed. UFGD")</f>
        <v>Ed. UFGD</v>
      </c>
      <c r="E115" s="25">
        <f>IFERROR(__xludf.DUMMYFUNCTION("""COMPUTED_VALUE"""),2014.0)</f>
        <v>2014</v>
      </c>
      <c r="F115" s="24" t="str">
        <f>IFERROR(__xludf.DUMMYFUNCTION("""COMPUTED_VALUE"""),"Consumo alimentar – Brasil; Renda familiar; Urbanização")</f>
        <v>Consumo alimentar – Brasil; Renda familiar; Urbanização</v>
      </c>
      <c r="G115" s="28" t="str">
        <f>IFERROR(__xludf.DUMMYFUNCTION("""COMPUTED_VALUE"""),"9788581470870")</f>
        <v>9788581470870</v>
      </c>
      <c r="H115" s="29" t="str">
        <f>IFERROR(__xludf.DUMMYFUNCTION("""COMPUTED_VALUE"""),"http://omp.ufgd.edu.br/omp/index.php/livrosabertos/catalog/view/64/68/232-1")</f>
        <v>http://omp.ufgd.edu.br/omp/index.php/livrosabertos/catalog/view/64/68/232-1</v>
      </c>
      <c r="I115" s="24" t="str">
        <f>IFERROR(__xludf.DUMMYFUNCTION("""COMPUTED_VALUE"""),"Ciências Sociais Aplicadas")</f>
        <v>Ciências Sociais Aplicadas</v>
      </c>
    </row>
    <row r="116">
      <c r="A116" s="24" t="str">
        <f>IFERROR(__xludf.DUMMYFUNCTION("""COMPUTED_VALUE"""),"Contrarreforma, intelectuais e serviço social: as inflexões na política de saúde")</f>
        <v>Contrarreforma, intelectuais e serviço social: as inflexões na política de saúde</v>
      </c>
      <c r="B116" s="24" t="str">
        <f>IFERROR(__xludf.DUMMYFUNCTION("""COMPUTED_VALUE"""),"Alessandra Ximenes da Silva; Mônica Barros da Nóbrega; Thaísa Simplício Carneiro Matias (org.)")</f>
        <v>Alessandra Ximenes da Silva; Mônica Barros da Nóbrega; Thaísa Simplício Carneiro Matias (org.)</v>
      </c>
      <c r="C116" s="24" t="str">
        <f>IFERROR(__xludf.DUMMYFUNCTION("""COMPUTED_VALUE"""),"Campina Grande")</f>
        <v>Campina Grande</v>
      </c>
      <c r="D116" s="24" t="str">
        <f>IFERROR(__xludf.DUMMYFUNCTION("""COMPUTED_VALUE"""),"EDUEPB")</f>
        <v>EDUEPB</v>
      </c>
      <c r="E116" s="25">
        <f>IFERROR(__xludf.DUMMYFUNCTION("""COMPUTED_VALUE"""),2017.0)</f>
        <v>2017</v>
      </c>
      <c r="F116" s="24" t="str">
        <f>IFERROR(__xludf.DUMMYFUNCTION("""COMPUTED_VALUE"""),"Gestão pública. Política de saúde. SUS. Gestão de saúde. Serviço social brasileiro. Reforma sanitária brasileira. Políticas sociais. Neoliberalismo")</f>
        <v>Gestão pública. Política de saúde. SUS. Gestão de saúde. Serviço social brasileiro. Reforma sanitária brasileira. Políticas sociais. Neoliberalismo</v>
      </c>
      <c r="G116" s="28" t="str">
        <f>IFERROR(__xludf.DUMMYFUNCTION("""COMPUTED_VALUE"""),"9788578794743")</f>
        <v>9788578794743</v>
      </c>
      <c r="H116" s="29" t="str">
        <f>IFERROR(__xludf.DUMMYFUNCTION("""COMPUTED_VALUE"""),"http://eduepb.uepb.edu.br/download/contrarreforma-intelectuais-e-servico-social-as-inflexoes-na-politica-de-saude-2/?wpdmdl=357&amp;amp;masterkey=5b02c73b2857c")</f>
        <v>http://eduepb.uepb.edu.br/download/contrarreforma-intelectuais-e-servico-social-as-inflexoes-na-politica-de-saude-2/?wpdmdl=357&amp;amp;masterkey=5b02c73b2857c</v>
      </c>
      <c r="I116" s="24" t="str">
        <f>IFERROR(__xludf.DUMMYFUNCTION("""COMPUTED_VALUE"""),"Ciências Sociais Aplicadas")</f>
        <v>Ciências Sociais Aplicadas</v>
      </c>
    </row>
    <row r="117">
      <c r="A117" s="24" t="str">
        <f>IFERROR(__xludf.DUMMYFUNCTION("""COMPUTED_VALUE"""),"Controle social e política redistributiva no orçamento participativo")</f>
        <v>Controle social e política redistributiva no orçamento participativo</v>
      </c>
      <c r="B117" s="24" t="str">
        <f>IFERROR(__xludf.DUMMYFUNCTION("""COMPUTED_VALUE"""),"Euzeneia Carlos")</f>
        <v>Euzeneia Carlos</v>
      </c>
      <c r="C117" s="24" t="str">
        <f>IFERROR(__xludf.DUMMYFUNCTION("""COMPUTED_VALUE"""),"Vitória")</f>
        <v>Vitória</v>
      </c>
      <c r="D117" s="24" t="str">
        <f>IFERROR(__xludf.DUMMYFUNCTION("""COMPUTED_VALUE"""),"EDUFES")</f>
        <v>EDUFES</v>
      </c>
      <c r="E117" s="25">
        <f>IFERROR(__xludf.DUMMYFUNCTION("""COMPUTED_VALUE"""),2015.0)</f>
        <v>2015</v>
      </c>
      <c r="F117" s="24" t="str">
        <f>IFERROR(__xludf.DUMMYFUNCTION("""COMPUTED_VALUE"""),"Orçamento; Participação social; Democracia; Condições sociais; Condições econômicas")</f>
        <v>Orçamento; Participação social; Democracia; Condições sociais; Condições econômicas</v>
      </c>
      <c r="G117" s="28" t="str">
        <f>IFERROR(__xludf.DUMMYFUNCTION("""COMPUTED_VALUE"""),"9788577722709")</f>
        <v>9788577722709</v>
      </c>
      <c r="H117" s="29" t="str">
        <f>IFERROR(__xludf.DUMMYFUNCTION("""COMPUTED_VALUE"""),"http://repositorio.ufes.br/bitstream/10/1264/6/Livro%20Edufes%20Controle%20Social%20e%20pol%C3%ADtica%20redistributiva%20no%20or%C3%A7amento%20participativo.pdf")</f>
        <v>http://repositorio.ufes.br/bitstream/10/1264/6/Livro%20Edufes%20Controle%20Social%20e%20pol%C3%ADtica%20redistributiva%20no%20or%C3%A7amento%20participativo.pdf</v>
      </c>
      <c r="I117" s="24" t="str">
        <f>IFERROR(__xludf.DUMMYFUNCTION("""COMPUTED_VALUE"""),"Ciências Sociais Aplicadas")</f>
        <v>Ciências Sociais Aplicadas</v>
      </c>
    </row>
    <row r="118">
      <c r="A118" s="24" t="str">
        <f>IFERROR(__xludf.DUMMYFUNCTION("""COMPUTED_VALUE"""),"Convenção sobre os Direitos das Pessoas com Deficiência : Novos Comentários")</f>
        <v>Convenção sobre os Direitos das Pessoas com Deficiência : Novos Comentários</v>
      </c>
      <c r="B118" s="24" t="str">
        <f>IFERROR(__xludf.DUMMYFUNCTION("""COMPUTED_VALUE"""),"Joelson Dias; Laíssa da Costa Ferreira; Maria Aparecida Gugel; Waldir Macieira da Costa Filho (org.)")</f>
        <v>Joelson Dias; Laíssa da Costa Ferreira; Maria Aparecida Gugel; Waldir Macieira da Costa Filho (org.)</v>
      </c>
      <c r="C118" s="24" t="str">
        <f>IFERROR(__xludf.DUMMYFUNCTION("""COMPUTED_VALUE"""),"Campina Grande")</f>
        <v>Campina Grande</v>
      </c>
      <c r="D118" s="24" t="str">
        <f>IFERROR(__xludf.DUMMYFUNCTION("""COMPUTED_VALUE"""),"EDUEPB")</f>
        <v>EDUEPB</v>
      </c>
      <c r="E118" s="25">
        <f>IFERROR(__xludf.DUMMYFUNCTION("""COMPUTED_VALUE"""),2014.0)</f>
        <v>2014</v>
      </c>
      <c r="F118" s="24" t="str">
        <f>IFERROR(__xludf.DUMMYFUNCTION("""COMPUTED_VALUE"""),"Deficiência – Direito Internacional. Deficiência – Direitos Humanos. Pessoa com Deficiência – Direito Internacional. Pessoa com Deficiência – Direitos Humanos. Direitos; Humanos. Pessoa com Deficiência")</f>
        <v>Deficiência – Direito Internacional. Deficiência – Direitos Humanos. Pessoa com Deficiência – Direito Internacional. Pessoa com Deficiência – Direitos Humanos. Direitos; Humanos. Pessoa com Deficiência</v>
      </c>
      <c r="G118" s="26"/>
      <c r="H118" s="29" t="str">
        <f>IFERROR(__xludf.DUMMYFUNCTION("""COMPUTED_VALUE"""),"http://eduepb.uepb.edu.br/download/convencao-sobre-os-direitos-das-pessoas-com-deficiencia-novos-comentarios/?wpdmdl=171&amp;amp;masterkey=5af997fb28cbe")</f>
        <v>http://eduepb.uepb.edu.br/download/convencao-sobre-os-direitos-das-pessoas-com-deficiencia-novos-comentarios/?wpdmdl=171&amp;amp;masterkey=5af997fb28cbe</v>
      </c>
      <c r="I118" s="24" t="str">
        <f>IFERROR(__xludf.DUMMYFUNCTION("""COMPUTED_VALUE"""),"Ciências Sociais Aplicadas")</f>
        <v>Ciências Sociais Aplicadas</v>
      </c>
    </row>
    <row r="119">
      <c r="A119" s="24" t="str">
        <f>IFERROR(__xludf.DUMMYFUNCTION("""COMPUTED_VALUE"""),"Convergência midiática e comunicação: cenários, atores e práticas ")</f>
        <v>Convergência midiática e comunicação: cenários, atores e práticas </v>
      </c>
      <c r="B119" s="24" t="str">
        <f>IFERROR(__xludf.DUMMYFUNCTION("""COMPUTED_VALUE"""),"Antônio Sardinha, Cláudia Maria; Arantes Assis Saar, Elaide Martins (org.)")</f>
        <v>Antônio Sardinha, Cláudia Maria; Arantes Assis Saar, Elaide Martins (org.)</v>
      </c>
      <c r="C119" s="24" t="str">
        <f>IFERROR(__xludf.DUMMYFUNCTION("""COMPUTED_VALUE"""),"Macapá")</f>
        <v>Macapá</v>
      </c>
      <c r="D119" s="24" t="str">
        <f>IFERROR(__xludf.DUMMYFUNCTION("""COMPUTED_VALUE"""),"UNIFAP")</f>
        <v>UNIFAP</v>
      </c>
      <c r="E119" s="25">
        <f>IFERROR(__xludf.DUMMYFUNCTION("""COMPUTED_VALUE"""),2014.0)</f>
        <v>2014</v>
      </c>
      <c r="F119" s="24" t="str">
        <f>IFERROR(__xludf.DUMMYFUNCTION("""COMPUTED_VALUE"""),"Comunicações digitais– Aspectos sociais; Comunicação e cultura; Mídia digital; Comunicação e tecnologia; Convergência midiática")</f>
        <v>Comunicações digitais– Aspectos sociais; Comunicação e cultura; Mídia digital; Comunicação e tecnologia; Convergência midiática</v>
      </c>
      <c r="G119" s="28" t="str">
        <f>IFERROR(__xludf.DUMMYFUNCTION("""COMPUTED_VALUE"""),"9788562359347")</f>
        <v>9788562359347</v>
      </c>
      <c r="H119" s="29" t="str">
        <f>IFERROR(__xludf.DUMMYFUNCTION("""COMPUTED_VALUE"""),"https://www2.unifap.br/editora/files/2015/09/SARDINHA_ELAIDE_CLAUDIA.pdf")</f>
        <v>https://www2.unifap.br/editora/files/2015/09/SARDINHA_ELAIDE_CLAUDIA.pdf</v>
      </c>
      <c r="I119" s="24" t="str">
        <f>IFERROR(__xludf.DUMMYFUNCTION("""COMPUTED_VALUE"""),"Ciências Sociais Aplicadas")</f>
        <v>Ciências Sociais Aplicadas</v>
      </c>
    </row>
    <row r="120">
      <c r="A120" s="24" t="str">
        <f>IFERROR(__xludf.DUMMYFUNCTION("""COMPUTED_VALUE"""),"Corpo-Verão: jornalismo e discurso na imprensa feminina")</f>
        <v>Corpo-Verão: jornalismo e discurso na imprensa feminina</v>
      </c>
      <c r="B120" s="24" t="str">
        <f>IFERROR(__xludf.DUMMYFUNCTION("""COMPUTED_VALUE"""),"Adriana Braga")</f>
        <v>Adriana Braga</v>
      </c>
      <c r="C120" s="24" t="str">
        <f>IFERROR(__xludf.DUMMYFUNCTION("""COMPUTED_VALUE"""),"Rio de Janeiro")</f>
        <v>Rio de Janeiro</v>
      </c>
      <c r="D120" s="24" t="str">
        <f>IFERROR(__xludf.DUMMYFUNCTION("""COMPUTED_VALUE"""),"Editora PUC Rio")</f>
        <v>Editora PUC Rio</v>
      </c>
      <c r="E120" s="25">
        <f>IFERROR(__xludf.DUMMYFUNCTION("""COMPUTED_VALUE"""),2016.0)</f>
        <v>2016</v>
      </c>
      <c r="F120" s="24" t="str">
        <f>IFERROR(__xludf.DUMMYFUNCTION("""COMPUTED_VALUE"""),"Estudos de gênero. Imprensa feminina. Jornalismo. Análise do discurso")</f>
        <v>Estudos de gênero. Imprensa feminina. Jornalismo. Análise do discurso</v>
      </c>
      <c r="G120" s="28" t="str">
        <f>IFERROR(__xludf.DUMMYFUNCTION("""COMPUTED_VALUE"""),"9788580061963")</f>
        <v>9788580061963</v>
      </c>
      <c r="H120" s="29" t="str">
        <f>IFERROR(__xludf.DUMMYFUNCTION("""COMPUTED_VALUE"""),"http://www.editora.puc-rio.br/media/CORPO%20VER%C3%83O%20download.pdf")</f>
        <v>http://www.editora.puc-rio.br/media/CORPO%20VER%C3%83O%20download.pdf</v>
      </c>
      <c r="I120" s="24" t="str">
        <f>IFERROR(__xludf.DUMMYFUNCTION("""COMPUTED_VALUE"""),"Ciências Sociais Aplicadas")</f>
        <v>Ciências Sociais Aplicadas</v>
      </c>
    </row>
    <row r="121">
      <c r="A121" s="24" t="str">
        <f>IFERROR(__xludf.DUMMYFUNCTION("""COMPUTED_VALUE"""),"Crime de desaparecimento forçado de pessoas: análise à luz da justiça de transição no Brasil ")</f>
        <v>Crime de desaparecimento forçado de pessoas: análise à luz da justiça de transição no Brasil </v>
      </c>
      <c r="B121" s="24" t="str">
        <f>IFERROR(__xludf.DUMMYFUNCTION("""COMPUTED_VALUE"""),"Tiago Medeiros Leite")</f>
        <v>Tiago Medeiros Leite</v>
      </c>
      <c r="C121" s="24" t="str">
        <f>IFERROR(__xludf.DUMMYFUNCTION("""COMPUTED_VALUE"""),"Campina Grande")</f>
        <v>Campina Grande</v>
      </c>
      <c r="D121" s="24" t="str">
        <f>IFERROR(__xludf.DUMMYFUNCTION("""COMPUTED_VALUE"""),"EDUEPB")</f>
        <v>EDUEPB</v>
      </c>
      <c r="E121" s="25">
        <f>IFERROR(__xludf.DUMMYFUNCTION("""COMPUTED_VALUE"""),2018.0)</f>
        <v>2018</v>
      </c>
      <c r="F121" s="24" t="str">
        <f>IFERROR(__xludf.DUMMYFUNCTION("""COMPUTED_VALUE"""),"Direito Internacional. Desaparecimento de pessoas. Crimes. Violência. Ditadura Militar")</f>
        <v>Direito Internacional. Desaparecimento de pessoas. Crimes. Violência. Ditadura Militar</v>
      </c>
      <c r="G121" s="28" t="str">
        <f>IFERROR(__xludf.DUMMYFUNCTION("""COMPUTED_VALUE"""),"9788578794248")</f>
        <v>9788578794248</v>
      </c>
      <c r="H121" s="29" t="str">
        <f>IFERROR(__xludf.DUMMYFUNCTION("""COMPUTED_VALUE"""),"http://eduepb.uepb.edu.br/download/crime-de-desaparecimento-forcado-de-pessoas/?wpdmdl=542&amp;amp;masterkey=5bec1bf57d9db")</f>
        <v>http://eduepb.uepb.edu.br/download/crime-de-desaparecimento-forcado-de-pessoas/?wpdmdl=542&amp;amp;masterkey=5bec1bf57d9db</v>
      </c>
      <c r="I121" s="24" t="str">
        <f>IFERROR(__xludf.DUMMYFUNCTION("""COMPUTED_VALUE"""),"Ciências Sociais Aplicadas")</f>
        <v>Ciências Sociais Aplicadas</v>
      </c>
    </row>
    <row r="122">
      <c r="A122" s="24" t="str">
        <f>IFERROR(__xludf.DUMMYFUNCTION("""COMPUTED_VALUE"""),"Crime e Loucura: O aparecimento do manicômio judiciário na passagem do século")</f>
        <v>Crime e Loucura: O aparecimento do manicômio judiciário na passagem do século</v>
      </c>
      <c r="B122" s="24" t="str">
        <f>IFERROR(__xludf.DUMMYFUNCTION("""COMPUTED_VALUE"""),"Sérgio Carrara")</f>
        <v>Sérgio Carrara</v>
      </c>
      <c r="C122" s="24" t="str">
        <f>IFERROR(__xludf.DUMMYFUNCTION("""COMPUTED_VALUE"""),"Rio de Janeiro")</f>
        <v>Rio de Janeiro</v>
      </c>
      <c r="D122" s="24" t="str">
        <f>IFERROR(__xludf.DUMMYFUNCTION("""COMPUTED_VALUE"""),"EdUERJ")</f>
        <v>EdUERJ</v>
      </c>
      <c r="E122" s="25">
        <f>IFERROR(__xludf.DUMMYFUNCTION("""COMPUTED_VALUE"""),1998.0)</f>
        <v>1998</v>
      </c>
      <c r="F122" s="24" t="str">
        <f>IFERROR(__xludf.DUMMYFUNCTION("""COMPUTED_VALUE"""),"Psiquiatria forense; Crime; Insanidade;. Antropologia social")</f>
        <v>Psiquiatria forense; Crime; Insanidade;. Antropologia social</v>
      </c>
      <c r="G122" s="28" t="str">
        <f>IFERROR(__xludf.DUMMYFUNCTION("""COMPUTED_VALUE"""),"8585881542")</f>
        <v>8585881542</v>
      </c>
      <c r="H122" s="29" t="str">
        <f>IFERROR(__xludf.DUMMYFUNCTION("""COMPUTED_VALUE"""),"https://www.eduerj.com/eng/?product=crime-e-loucura-o-aparecimento-do-manicomio-judiciario-na-passagem-do-seculo-2")</f>
        <v>https://www.eduerj.com/eng/?product=crime-e-loucura-o-aparecimento-do-manicomio-judiciario-na-passagem-do-seculo-2</v>
      </c>
      <c r="I122" s="24" t="str">
        <f>IFERROR(__xludf.DUMMYFUNCTION("""COMPUTED_VALUE"""),"Ciências Sociais Aplicadas")</f>
        <v>Ciências Sociais Aplicadas</v>
      </c>
    </row>
    <row r="123">
      <c r="A123" s="24" t="str">
        <f>IFERROR(__xludf.DUMMYFUNCTION("""COMPUTED_VALUE"""),"Criminalidade feminina: mulheres negras e os homicídios em Pelotas (1880-1890)")</f>
        <v>Criminalidade feminina: mulheres negras e os homicídios em Pelotas (1880-1890)</v>
      </c>
      <c r="B123" s="24" t="str">
        <f>IFERROR(__xludf.DUMMYFUNCTION("""COMPUTED_VALUE"""),"Guedes, Geza Lisiane Carús")</f>
        <v>Guedes, Geza Lisiane Carús</v>
      </c>
      <c r="C123" s="24" t="str">
        <f>IFERROR(__xludf.DUMMYFUNCTION("""COMPUTED_VALUE"""),"Pelotas")</f>
        <v>Pelotas</v>
      </c>
      <c r="D123" s="24" t="str">
        <f>IFERROR(__xludf.DUMMYFUNCTION("""COMPUTED_VALUE"""),"UFPel")</f>
        <v>UFPel</v>
      </c>
      <c r="E123" s="25">
        <f>IFERROR(__xludf.DUMMYFUNCTION("""COMPUTED_VALUE"""),2017.0)</f>
        <v>2017</v>
      </c>
      <c r="F123" s="24" t="str">
        <f>IFERROR(__xludf.DUMMYFUNCTION("""COMPUTED_VALUE"""),"Criminalidade; Mulheres; Mulheres negras; Violência; Imprensa; Pelotas")</f>
        <v>Criminalidade; Mulheres; Mulheres negras; Violência; Imprensa; Pelotas</v>
      </c>
      <c r="G123" s="28" t="str">
        <f>IFERROR(__xludf.DUMMYFUNCTION("""COMPUTED_VALUE"""),"9788571929661")</f>
        <v>9788571929661</v>
      </c>
      <c r="H123" s="29" t="str">
        <f>IFERROR(__xludf.DUMMYFUNCTION("""COMPUTED_VALUE"""),"http://repositorio.ufpel.edu.br:8080/bitstream/prefix/3809/1/16_CRIMINALIDADE%20FEMININA_S%c3%89RIE%20P%c3%93S%20GRADUA%c3%87%c3%83O.pdf")</f>
        <v>http://repositorio.ufpel.edu.br:8080/bitstream/prefix/3809/1/16_CRIMINALIDADE%20FEMININA_S%c3%89RIE%20P%c3%93S%20GRADUA%c3%87%c3%83O.pdf</v>
      </c>
      <c r="I123" s="24" t="str">
        <f>IFERROR(__xludf.DUMMYFUNCTION("""COMPUTED_VALUE"""),"Ciências Sociais Aplicadas")</f>
        <v>Ciências Sociais Aplicadas</v>
      </c>
    </row>
    <row r="124">
      <c r="A124" s="24" t="str">
        <f>IFERROR(__xludf.DUMMYFUNCTION("""COMPUTED_VALUE"""),"Crise, complexidade ambiental e o papel do direito na gestão hídrica do Nordeste")</f>
        <v>Crise, complexidade ambiental e o papel do direito na gestão hídrica do Nordeste</v>
      </c>
      <c r="B124" s="24" t="str">
        <f>IFERROR(__xludf.DUMMYFUNCTION("""COMPUTED_VALUE"""),"Alana Ramos Araujo; Belinda Pereira da Cunha; Germana Parente Neiva Belchior; Talden Queiroz Farias (org.)")</f>
        <v>Alana Ramos Araujo; Belinda Pereira da Cunha; Germana Parente Neiva Belchior; Talden Queiroz Farias (org.)</v>
      </c>
      <c r="C124" s="24" t="str">
        <f>IFERROR(__xludf.DUMMYFUNCTION("""COMPUTED_VALUE"""),"Campina Grande")</f>
        <v>Campina Grande</v>
      </c>
      <c r="D124" s="24" t="str">
        <f>IFERROR(__xludf.DUMMYFUNCTION("""COMPUTED_VALUE"""),"EDUEPB")</f>
        <v>EDUEPB</v>
      </c>
      <c r="E124" s="25">
        <f>IFERROR(__xludf.DUMMYFUNCTION("""COMPUTED_VALUE"""),2019.0)</f>
        <v>2019</v>
      </c>
      <c r="F124" s="24" t="str">
        <f>IFERROR(__xludf.DUMMYFUNCTION("""COMPUTED_VALUE"""),"Direito Ambiental. Escassez hídrica - Nordeste. Agua – Gestão Sustentável. Gestão ambiental. Educação Ambiental - Praticas")</f>
        <v>Direito Ambiental. Escassez hídrica - Nordeste. Agua – Gestão Sustentável. Gestão ambiental. Educação Ambiental - Praticas</v>
      </c>
      <c r="G124" s="28" t="str">
        <f>IFERROR(__xludf.DUMMYFUNCTION("""COMPUTED_VALUE"""),"9788578794941")</f>
        <v>9788578794941</v>
      </c>
      <c r="H124" s="29" t="str">
        <f>IFERROR(__xludf.DUMMYFUNCTION("""COMPUTED_VALUE"""),"http://eduepb.uepb.edu.br/download/crise-complexidade-ambiental-e-o-papel-do-direito-na-gestao-hidrica-do-nordeste/?wpdmdl=666&amp;amp;masterkey=5cb483a80e477")</f>
        <v>http://eduepb.uepb.edu.br/download/crise-complexidade-ambiental-e-o-papel-do-direito-na-gestao-hidrica-do-nordeste/?wpdmdl=666&amp;amp;masterkey=5cb483a80e477</v>
      </c>
      <c r="I124" s="24" t="str">
        <f>IFERROR(__xludf.DUMMYFUNCTION("""COMPUTED_VALUE"""),"Ciências Sociais Aplicadas")</f>
        <v>Ciências Sociais Aplicadas</v>
      </c>
    </row>
    <row r="125">
      <c r="A125" s="24" t="str">
        <f>IFERROR(__xludf.DUMMYFUNCTION("""COMPUTED_VALUE"""),"Curso avançado de direito tributário municipal : Volume 1")</f>
        <v>Curso avançado de direito tributário municipal : Volume 1</v>
      </c>
      <c r="B125" s="24" t="str">
        <f>IFERROR(__xludf.DUMMYFUNCTION("""COMPUTED_VALUE"""),"Saulo Medeiros da Costa Silva; Arthur Cesar de Moura Pereira (org.)")</f>
        <v>Saulo Medeiros da Costa Silva; Arthur Cesar de Moura Pereira (org.)</v>
      </c>
      <c r="C125" s="24" t="str">
        <f>IFERROR(__xludf.DUMMYFUNCTION("""COMPUTED_VALUE"""),"Campina Grande")</f>
        <v>Campina Grande</v>
      </c>
      <c r="D125" s="24" t="str">
        <f>IFERROR(__xludf.DUMMYFUNCTION("""COMPUTED_VALUE"""),"EDUEPB")</f>
        <v>EDUEPB</v>
      </c>
      <c r="E125" s="25">
        <f>IFERROR(__xludf.DUMMYFUNCTION("""COMPUTED_VALUE"""),2016.0)</f>
        <v>2016</v>
      </c>
      <c r="F125" s="24" t="str">
        <f>IFERROR(__xludf.DUMMYFUNCTION("""COMPUTED_VALUE"""),"Direito. Direito tributário. Estados modernos. Autonomia financeira. Taxas municipais")</f>
        <v>Direito. Direito tributário. Estados modernos. Autonomia financeira. Taxas municipais</v>
      </c>
      <c r="G125" s="28" t="str">
        <f>IFERROR(__xludf.DUMMYFUNCTION("""COMPUTED_VALUE"""),"9788578793067")</f>
        <v>9788578793067</v>
      </c>
      <c r="H125" s="29" t="str">
        <f>IFERROR(__xludf.DUMMYFUNCTION("""COMPUTED_VALUE"""),"http://eduepb.uepb.edu.br/download/curso-avancado-de-direito-tributario-municipal-volume-1/?wpdmdl=175&amp;amp;masterkey=5af99926a76e7")</f>
        <v>http://eduepb.uepb.edu.br/download/curso-avancado-de-direito-tributario-municipal-volume-1/?wpdmdl=175&amp;amp;masterkey=5af99926a76e7</v>
      </c>
      <c r="I125" s="24" t="str">
        <f>IFERROR(__xludf.DUMMYFUNCTION("""COMPUTED_VALUE"""),"Ciências Sociais Aplicadas")</f>
        <v>Ciências Sociais Aplicadas</v>
      </c>
    </row>
    <row r="126">
      <c r="A126" s="24" t="str">
        <f>IFERROR(__xludf.DUMMYFUNCTION("""COMPUTED_VALUE"""),"Curso avançado de direito tributário municipal : Volume 2")</f>
        <v>Curso avançado de direito tributário municipal : Volume 2</v>
      </c>
      <c r="B126" s="24" t="str">
        <f>IFERROR(__xludf.DUMMYFUNCTION("""COMPUTED_VALUE"""),"Saulo Medeiros da Costa Silva; Arthur Cesar de Moura Pereira (org.)")</f>
        <v>Saulo Medeiros da Costa Silva; Arthur Cesar de Moura Pereira (org.)</v>
      </c>
      <c r="C126" s="24" t="str">
        <f>IFERROR(__xludf.DUMMYFUNCTION("""COMPUTED_VALUE"""),"Campina Grande")</f>
        <v>Campina Grande</v>
      </c>
      <c r="D126" s="24" t="str">
        <f>IFERROR(__xludf.DUMMYFUNCTION("""COMPUTED_VALUE"""),"EDUEPB")</f>
        <v>EDUEPB</v>
      </c>
      <c r="E126" s="25">
        <f>IFERROR(__xludf.DUMMYFUNCTION("""COMPUTED_VALUE"""),2016.0)</f>
        <v>2016</v>
      </c>
      <c r="F126" s="24" t="str">
        <f>IFERROR(__xludf.DUMMYFUNCTION("""COMPUTED_VALUE"""),"Direito. Direito tributário municipal. ICMS.; IPTU. Espécie de tributos")</f>
        <v>Direito. Direito tributário municipal. ICMS.; IPTU. Espécie de tributos</v>
      </c>
      <c r="G126" s="28" t="str">
        <f>IFERROR(__xludf.DUMMYFUNCTION("""COMPUTED_VALUE"""),"9788578793074")</f>
        <v>9788578793074</v>
      </c>
      <c r="H126" s="29" t="str">
        <f>IFERROR(__xludf.DUMMYFUNCTION("""COMPUTED_VALUE"""),"http://eduepb.uepb.edu.br/download/curso-avancado-de-direito-tributario-municipal-volume-2/?wpdmdl=176&amp;amp;masterkey=5af9993541ded")</f>
        <v>http://eduepb.uepb.edu.br/download/curso-avancado-de-direito-tributario-municipal-volume-2/?wpdmdl=176&amp;amp;masterkey=5af9993541ded</v>
      </c>
      <c r="I126" s="24" t="str">
        <f>IFERROR(__xludf.DUMMYFUNCTION("""COMPUTED_VALUE"""),"Ciências Sociais Aplicadas")</f>
        <v>Ciências Sociais Aplicadas</v>
      </c>
    </row>
    <row r="127">
      <c r="A127" s="24" t="str">
        <f>IFERROR(__xludf.DUMMYFUNCTION("""COMPUTED_VALUE"""),"Curso avançado de direito tributário municipal : Volume 3")</f>
        <v>Curso avançado de direito tributário municipal : Volume 3</v>
      </c>
      <c r="B127" s="24" t="str">
        <f>IFERROR(__xludf.DUMMYFUNCTION("""COMPUTED_VALUE"""),"Saulo Medeiros da Costa Silva; Arthur Cesar de Moura Pereira (org.)")</f>
        <v>Saulo Medeiros da Costa Silva; Arthur Cesar de Moura Pereira (org.)</v>
      </c>
      <c r="C127" s="24" t="str">
        <f>IFERROR(__xludf.DUMMYFUNCTION("""COMPUTED_VALUE"""),"Campina Grande")</f>
        <v>Campina Grande</v>
      </c>
      <c r="D127" s="24" t="str">
        <f>IFERROR(__xludf.DUMMYFUNCTION("""COMPUTED_VALUE"""),"EDUEPB")</f>
        <v>EDUEPB</v>
      </c>
      <c r="E127" s="25">
        <f>IFERROR(__xludf.DUMMYFUNCTION("""COMPUTED_VALUE"""),2016.0)</f>
        <v>2016</v>
      </c>
      <c r="F127" s="24" t="str">
        <f>IFERROR(__xludf.DUMMYFUNCTION("""COMPUTED_VALUE"""),"Direito. Direito tributário municipal. Iluminação; Pública. Taxas. Tarifas. Licenciamento ambiental")</f>
        <v>Direito. Direito tributário municipal. Iluminação; Pública. Taxas. Tarifas. Licenciamento ambiental</v>
      </c>
      <c r="G127" s="28" t="str">
        <f>IFERROR(__xludf.DUMMYFUNCTION("""COMPUTED_VALUE"""),"9788578793074")</f>
        <v>9788578793074</v>
      </c>
      <c r="H127" s="29" t="str">
        <f>IFERROR(__xludf.DUMMYFUNCTION("""COMPUTED_VALUE"""),"http://eduepb.uepb.edu.br/download/curso-avancado-de-direito-tributario-municipal-volume-3/?wpdmdl=177&amp;amp;masterkey=5af9994fce09e")</f>
        <v>http://eduepb.uepb.edu.br/download/curso-avancado-de-direito-tributario-municipal-volume-3/?wpdmdl=177&amp;amp;masterkey=5af9994fce09e</v>
      </c>
      <c r="I127" s="24" t="str">
        <f>IFERROR(__xludf.DUMMYFUNCTION("""COMPUTED_VALUE"""),"Ciências Sociais Aplicadas")</f>
        <v>Ciências Sociais Aplicadas</v>
      </c>
    </row>
    <row r="128">
      <c r="A128" s="24" t="str">
        <f>IFERROR(__xludf.DUMMYFUNCTION("""COMPUTED_VALUE"""),"Curso de administração do IPA: 15 anos de história")</f>
        <v>Curso de administração do IPA: 15 anos de história</v>
      </c>
      <c r="B128" s="24" t="str">
        <f>IFERROR(__xludf.DUMMYFUNCTION("""COMPUTED_VALUE"""),"Maria D’lourdes Guimarães Rotermund; Roberto Godoy Nogueira (org.)")</f>
        <v>Maria D’lourdes Guimarães Rotermund; Roberto Godoy Nogueira (org.)</v>
      </c>
      <c r="C128" s="24" t="str">
        <f>IFERROR(__xludf.DUMMYFUNCTION("""COMPUTED_VALUE"""),"Porto Alegre, RS")</f>
        <v>Porto Alegre, RS</v>
      </c>
      <c r="D128" s="24" t="str">
        <f>IFERROR(__xludf.DUMMYFUNCTION("""COMPUTED_VALUE"""),"Editora Universitária Metodista")</f>
        <v>Editora Universitária Metodista</v>
      </c>
      <c r="E128" s="25">
        <f>IFERROR(__xludf.DUMMYFUNCTION("""COMPUTED_VALUE"""),2016.0)</f>
        <v>2016</v>
      </c>
      <c r="F128" s="24" t="str">
        <f>IFERROR(__xludf.DUMMYFUNCTION("""COMPUTED_VALUE"""),"Administração. História. Instituto Metodista de Porto Alegre")</f>
        <v>Administração. História. Instituto Metodista de Porto Alegre</v>
      </c>
      <c r="G128" s="28" t="str">
        <f>IFERROR(__xludf.DUMMYFUNCTION("""COMPUTED_VALUE"""),"9788599738450")</f>
        <v>9788599738450</v>
      </c>
      <c r="H128" s="29" t="str">
        <f>IFERROR(__xludf.DUMMYFUNCTION("""COMPUTED_VALUE"""),"http://editora.metodista.br/livros-gratis/livroadministracao28-10-2016final.pdf/at_download/file")</f>
        <v>http://editora.metodista.br/livros-gratis/livroadministracao28-10-2016final.pdf/at_download/file</v>
      </c>
      <c r="I128" s="24" t="str">
        <f>IFERROR(__xludf.DUMMYFUNCTION("""COMPUTED_VALUE"""),"Ciências Sociais Aplicadas")</f>
        <v>Ciências Sociais Aplicadas</v>
      </c>
    </row>
    <row r="129">
      <c r="A129" s="24" t="str">
        <f>IFERROR(__xludf.DUMMYFUNCTION("""COMPUTED_VALUE"""),"Curso De Direitos Fundamentais")</f>
        <v>Curso De Direitos Fundamentais</v>
      </c>
      <c r="B129" s="24" t="str">
        <f>IFERROR(__xludf.DUMMYFUNCTION("""COMPUTED_VALUE"""),"Lourivaldo da Conceição")</f>
        <v>Lourivaldo da Conceição</v>
      </c>
      <c r="C129" s="24" t="str">
        <f>IFERROR(__xludf.DUMMYFUNCTION("""COMPUTED_VALUE"""),"Campina Grande")</f>
        <v>Campina Grande</v>
      </c>
      <c r="D129" s="24" t="str">
        <f>IFERROR(__xludf.DUMMYFUNCTION("""COMPUTED_VALUE"""),"EDUEPB")</f>
        <v>EDUEPB</v>
      </c>
      <c r="E129" s="25">
        <f>IFERROR(__xludf.DUMMYFUNCTION("""COMPUTED_VALUE"""),2016.0)</f>
        <v>2016</v>
      </c>
      <c r="F129" s="24" t="str">
        <f>IFERROR(__xludf.DUMMYFUNCTION("""COMPUTED_VALUE"""),"Direito. Direitos Fundamentais. Habeas corpus. Ação popular. Direitos Sociais. Constituição de 1988")</f>
        <v>Direito. Direitos Fundamentais. Habeas corpus. Ação popular. Direitos Sociais. Constituição de 1988</v>
      </c>
      <c r="G129" s="28" t="str">
        <f>IFERROR(__xludf.DUMMYFUNCTION("""COMPUTED_VALUE"""),"9788578793456")</f>
        <v>9788578793456</v>
      </c>
      <c r="H129" s="29" t="str">
        <f>IFERROR(__xludf.DUMMYFUNCTION("""COMPUTED_VALUE"""),"http://eduepb.uepb.edu.br/download/curso-de-direitos-fundamentais/?wpdmdl=173&amp;amp;masterkey=5af998a247f90")</f>
        <v>http://eduepb.uepb.edu.br/download/curso-de-direitos-fundamentais/?wpdmdl=173&amp;amp;masterkey=5af998a247f90</v>
      </c>
      <c r="I129" s="24" t="str">
        <f>IFERROR(__xludf.DUMMYFUNCTION("""COMPUTED_VALUE"""),"Ciências Sociais Aplicadas")</f>
        <v>Ciências Sociais Aplicadas</v>
      </c>
    </row>
    <row r="130">
      <c r="A130" s="24" t="str">
        <f>IFERROR(__xludf.DUMMYFUNCTION("""COMPUTED_VALUE"""),"Da pesquisa para a sociedade: reflexões sobre a comunicação científi ca e tecnológica")</f>
        <v>Da pesquisa para a sociedade: reflexões sobre a comunicação científi ca e tecnológica</v>
      </c>
      <c r="B130" s="24" t="str">
        <f>IFERROR(__xludf.DUMMYFUNCTION("""COMPUTED_VALUE"""),"Lisandro Diego Giraldez Alvarez, Ana Carolina Castellucio, Verbena Córdula Almeida")</f>
        <v>Lisandro Diego Giraldez Alvarez, Ana Carolina Castellucio, Verbena Córdula Almeida</v>
      </c>
      <c r="C130" s="24" t="str">
        <f>IFERROR(__xludf.DUMMYFUNCTION("""COMPUTED_VALUE"""),"Ilhéus, BA")</f>
        <v>Ilhéus, BA</v>
      </c>
      <c r="D130" s="24" t="str">
        <f>IFERROR(__xludf.DUMMYFUNCTION("""COMPUTED_VALUE"""),"Editus")</f>
        <v>Editus</v>
      </c>
      <c r="E130" s="25">
        <f>IFERROR(__xludf.DUMMYFUNCTION("""COMPUTED_VALUE"""),2013.0)</f>
        <v>2013</v>
      </c>
      <c r="F130" s="24" t="str">
        <f>IFERROR(__xludf.DUMMYFUNCTION("""COMPUTED_VALUE"""),"Comunicação na ciência; Notícias científicas; Pesquisa; Jornalismo científi co")</f>
        <v>Comunicação na ciência; Notícias científicas; Pesquisa; Jornalismo científi co</v>
      </c>
      <c r="G130" s="28" t="str">
        <f>IFERROR(__xludf.DUMMYFUNCTION("""COMPUTED_VALUE"""),"9788574553160")</f>
        <v>9788574553160</v>
      </c>
      <c r="H130" s="29" t="str">
        <f>IFERROR(__xludf.DUMMYFUNCTION("""COMPUTED_VALUE"""),"http://www.uesc.br/editora/livrosdigitais2015/pesquisa_para_sociedade.pdf")</f>
        <v>http://www.uesc.br/editora/livrosdigitais2015/pesquisa_para_sociedade.pdf</v>
      </c>
      <c r="I130" s="24" t="str">
        <f>IFERROR(__xludf.DUMMYFUNCTION("""COMPUTED_VALUE"""),"Ciências Sociais Aplicadas")</f>
        <v>Ciências Sociais Aplicadas</v>
      </c>
    </row>
    <row r="131">
      <c r="A131" s="24" t="str">
        <f>IFERROR(__xludf.DUMMYFUNCTION("""COMPUTED_VALUE"""),"Dados científicos: perspectivas e desafios (disponível temporariamente)")</f>
        <v>Dados científicos: perspectivas e desafios (disponível temporariamente)</v>
      </c>
      <c r="B131" s="24" t="str">
        <f>IFERROR(__xludf.DUMMYFUNCTION("""COMPUTED_VALUE"""),"Guilherme Ataíde Dias, Bernardina Maria Juvenal Freire de Oliveira (organizadores). ")</f>
        <v>Guilherme Ataíde Dias, Bernardina Maria Juvenal Freire de Oliveira (organizadores). </v>
      </c>
      <c r="C131" s="24" t="str">
        <f>IFERROR(__xludf.DUMMYFUNCTION("""COMPUTED_VALUE"""),"João Pessoa")</f>
        <v>João Pessoa</v>
      </c>
      <c r="D131" s="24" t="str">
        <f>IFERROR(__xludf.DUMMYFUNCTION("""COMPUTED_VALUE"""),"Editora da UFPB")</f>
        <v>Editora da UFPB</v>
      </c>
      <c r="E131" s="25">
        <f>IFERROR(__xludf.DUMMYFUNCTION("""COMPUTED_VALUE"""),2019.0)</f>
        <v>2019</v>
      </c>
      <c r="F131" s="24" t="str">
        <f>IFERROR(__xludf.DUMMYFUNCTION("""COMPUTED_VALUE"""),"Ciência da informação; Dados científicos; Inteligência artificial; Informação e conhecimento ")</f>
        <v>Ciência da informação; Dados científicos; Inteligência artificial; Informação e conhecimento </v>
      </c>
      <c r="G131" s="28" t="str">
        <f>IFERROR(__xludf.DUMMYFUNCTION("""COMPUTED_VALUE"""),"9788523714116")</f>
        <v>9788523714116</v>
      </c>
      <c r="H131" s="29" t="str">
        <f>IFERROR(__xludf.DUMMYFUNCTION("""COMPUTED_VALUE"""),"http://www.editora.ufpb.br/sistema/press5/index.php/UFPB/catalog/book/359")</f>
        <v>http://www.editora.ufpb.br/sistema/press5/index.php/UFPB/catalog/book/359</v>
      </c>
      <c r="I131" s="24" t="str">
        <f>IFERROR(__xludf.DUMMYFUNCTION("""COMPUTED_VALUE"""),"Ciências Sociais Aplicadas")</f>
        <v>Ciências Sociais Aplicadas</v>
      </c>
    </row>
    <row r="132">
      <c r="A132" s="24" t="str">
        <f>IFERROR(__xludf.DUMMYFUNCTION("""COMPUTED_VALUE"""),"Dados socioeconômicos e aspectos da moradia e infraestrutura do Conjunto Habitacional Mestre Oscar Santos em Macapá - ano 2017")</f>
        <v>Dados socioeconômicos e aspectos da moradia e infraestrutura do Conjunto Habitacional Mestre Oscar Santos em Macapá - ano 2017</v>
      </c>
      <c r="B132" s="24" t="str">
        <f>IFERROR(__xludf.DUMMYFUNCTION("""COMPUTED_VALUE"""),"Melissa K. Matsunaga (coord.)")</f>
        <v>Melissa K. Matsunaga (coord.)</v>
      </c>
      <c r="C132" s="24" t="str">
        <f>IFERROR(__xludf.DUMMYFUNCTION("""COMPUTED_VALUE"""),"Macapá")</f>
        <v>Macapá</v>
      </c>
      <c r="D132" s="24" t="str">
        <f>IFERROR(__xludf.DUMMYFUNCTION("""COMPUTED_VALUE"""),"UNIFAP")</f>
        <v>UNIFAP</v>
      </c>
      <c r="E132" s="25">
        <f>IFERROR(__xludf.DUMMYFUNCTION("""COMPUTED_VALUE"""),2019.0)</f>
        <v>2019</v>
      </c>
      <c r="F132" s="24" t="str">
        <f>IFERROR(__xludf.DUMMYFUNCTION("""COMPUTED_VALUE"""),"Planejamento urbano - Infraestrutura; Habitação; Residências - conjuntos")</f>
        <v>Planejamento urbano - Infraestrutura; Habitação; Residências - conjuntos</v>
      </c>
      <c r="G132" s="28" t="str">
        <f>IFERROR(__xludf.DUMMYFUNCTION("""COMPUTED_VALUE"""),"9788554760823")</f>
        <v>9788554760823</v>
      </c>
      <c r="H132" s="29" t="str">
        <f>IFERROR(__xludf.DUMMYFUNCTION("""COMPUTED_VALUE"""),"https://www2.unifap.br/editora/files/2019/07/dados-socioeconomicos-e-aspectos-da-moradia.pdf")</f>
        <v>https://www2.unifap.br/editora/files/2019/07/dados-socioeconomicos-e-aspectos-da-moradia.pdf</v>
      </c>
      <c r="I132" s="24" t="str">
        <f>IFERROR(__xludf.DUMMYFUNCTION("""COMPUTED_VALUE"""),"Ciências Sociais Aplicadas")</f>
        <v>Ciências Sociais Aplicadas</v>
      </c>
    </row>
    <row r="133">
      <c r="A133" s="24" t="str">
        <f>IFERROR(__xludf.DUMMYFUNCTION("""COMPUTED_VALUE"""),"De Comer (Cultura Alimentar e Receitas do Semiárido Cearense)")</f>
        <v>De Comer (Cultura Alimentar e Receitas do Semiárido Cearense)</v>
      </c>
      <c r="B133" s="24" t="str">
        <f>IFERROR(__xludf.DUMMYFUNCTION("""COMPUTED_VALUE"""),"Maristela Inês Osawa Vasconcelos, Izabelle Mont’Alverne Napoleão Albuquerque, Emanuela Catunda Peres")</f>
        <v>Maristela Inês Osawa Vasconcelos, Izabelle Mont’Alverne Napoleão Albuquerque, Emanuela Catunda Peres</v>
      </c>
      <c r="C133" s="24" t="str">
        <f>IFERROR(__xludf.DUMMYFUNCTION("""COMPUTED_VALUE"""),"Sobral")</f>
        <v>Sobral</v>
      </c>
      <c r="D133" s="24" t="str">
        <f>IFERROR(__xludf.DUMMYFUNCTION("""COMPUTED_VALUE"""),"Edições UVA")</f>
        <v>Edições UVA</v>
      </c>
      <c r="E133" s="25">
        <f>IFERROR(__xludf.DUMMYFUNCTION("""COMPUTED_VALUE"""),2017.0)</f>
        <v>2017</v>
      </c>
      <c r="F133" s="24" t="str">
        <f>IFERROR(__xludf.DUMMYFUNCTION("""COMPUTED_VALUE"""),"Alimentação saudável, Segurança alimentar, Extensão; universitária")</f>
        <v>Alimentação saudável, Segurança alimentar, Extensão; universitária</v>
      </c>
      <c r="G133" s="28" t="str">
        <f>IFERROR(__xludf.DUMMYFUNCTION("""COMPUTED_VALUE"""),"9788595390010")</f>
        <v>9788595390010</v>
      </c>
      <c r="H133" s="29" t="str">
        <f>IFERROR(__xludf.DUMMYFUNCTION("""COMPUTED_VALUE"""),"http://www.uvanet.br/edicoes_uva/gera_xml.php?arquivo=de_comer")</f>
        <v>http://www.uvanet.br/edicoes_uva/gera_xml.php?arquivo=de_comer</v>
      </c>
      <c r="I133" s="24" t="str">
        <f>IFERROR(__xludf.DUMMYFUNCTION("""COMPUTED_VALUE"""),"Ciências Sociais Aplicadas")</f>
        <v>Ciências Sociais Aplicadas</v>
      </c>
    </row>
    <row r="134">
      <c r="A134" s="24" t="str">
        <f>IFERROR(__xludf.DUMMYFUNCTION("""COMPUTED_VALUE"""),"Defensoria pública: análise institucional da execução da política pública de assistência jurídica gratuita ")</f>
        <v>Defensoria pública: análise institucional da execução da política pública de assistência jurídica gratuita </v>
      </c>
      <c r="B134" s="24" t="str">
        <f>IFERROR(__xludf.DUMMYFUNCTION("""COMPUTED_VALUE"""),"Laryssa Saraiva Queiroz")</f>
        <v>Laryssa Saraiva Queiroz</v>
      </c>
      <c r="C134" s="24" t="str">
        <f>IFERROR(__xludf.DUMMYFUNCTION("""COMPUTED_VALUE"""),"Teresina")</f>
        <v>Teresina</v>
      </c>
      <c r="D134" s="24" t="str">
        <f>IFERROR(__xludf.DUMMYFUNCTION("""COMPUTED_VALUE"""),"EDUFPI")</f>
        <v>EDUFPI</v>
      </c>
      <c r="E134" s="25">
        <f>IFERROR(__xludf.DUMMYFUNCTION("""COMPUTED_VALUE"""),2020.0)</f>
        <v>2020</v>
      </c>
      <c r="F134" s="24" t="str">
        <f>IFERROR(__xludf.DUMMYFUNCTION("""COMPUTED_VALUE"""),"Defensoria Pública; Política Pública; Acesso Gratuito à; Justiça; Vulneráveis; Problemas de Execução")</f>
        <v>Defensoria Pública; Política Pública; Acesso Gratuito à; Justiça; Vulneráveis; Problemas de Execução</v>
      </c>
      <c r="G134" s="28" t="str">
        <f>IFERROR(__xludf.DUMMYFUNCTION("""COMPUTED_VALUE"""),"9788550905655")</f>
        <v>9788550905655</v>
      </c>
      <c r="H134" s="29" t="str">
        <f>IFERROR(__xludf.DUMMYFUNCTION("""COMPUTED_VALUE"""),"https://www.ufpi.br/arquivos_download/arquivos/Capa__Miolo20191217100659.pdf")</f>
        <v>https://www.ufpi.br/arquivos_download/arquivos/Capa__Miolo20191217100659.pdf</v>
      </c>
      <c r="I134" s="24" t="str">
        <f>IFERROR(__xludf.DUMMYFUNCTION("""COMPUTED_VALUE"""),"Ciências Sociais Aplicadas")</f>
        <v>Ciências Sociais Aplicadas</v>
      </c>
    </row>
    <row r="135">
      <c r="A135" s="24" t="str">
        <f>IFERROR(__xludf.DUMMYFUNCTION("""COMPUTED_VALUE"""),"Defesa, Abandono e Acolhimento de Crianças e Adolescentes: O Paradoxo do Estado (Des) Protetor")</f>
        <v>Defesa, Abandono e Acolhimento de Crianças e Adolescentes: O Paradoxo do Estado (Des) Protetor</v>
      </c>
      <c r="B135" s="24" t="str">
        <f>IFERROR(__xludf.DUMMYFUNCTION("""COMPUTED_VALUE"""),"Ana Lúcia Batista Aurino; Erlane Bandeira de Melo Siqueira; Luziana Ramalho Ribeiro; Maria do Socorro de Souza Vieira")</f>
        <v>Ana Lúcia Batista Aurino; Erlane Bandeira de Melo Siqueira; Luziana Ramalho Ribeiro; Maria do Socorro de Souza Vieira</v>
      </c>
      <c r="C135" s="24" t="str">
        <f>IFERROR(__xludf.DUMMYFUNCTION("""COMPUTED_VALUE"""),"João Pessoa")</f>
        <v>João Pessoa</v>
      </c>
      <c r="D135" s="24" t="str">
        <f>IFERROR(__xludf.DUMMYFUNCTION("""COMPUTED_VALUE"""),"Editora da UFPB")</f>
        <v>Editora da UFPB</v>
      </c>
      <c r="E135" s="25">
        <f>IFERROR(__xludf.DUMMYFUNCTION("""COMPUTED_VALUE"""),2016.0)</f>
        <v>2016</v>
      </c>
      <c r="F135" s="24" t="str">
        <f>IFERROR(__xludf.DUMMYFUNCTION("""COMPUTED_VALUE"""),"Serviço social. Proteção - criança e adolescente. Acolhimento institucional. Adoção")</f>
        <v>Serviço social. Proteção - criança e adolescente. Acolhimento institucional. Adoção</v>
      </c>
      <c r="G135" s="28" t="str">
        <f>IFERROR(__xludf.DUMMYFUNCTION("""COMPUTED_VALUE"""),"9788523712174")</f>
        <v>9788523712174</v>
      </c>
      <c r="H135" s="29" t="str">
        <f>IFERROR(__xludf.DUMMYFUNCTION("""COMPUTED_VALUE"""),"http://www.editora.ufpb.br/sistema/press5/index.php/UFPB/catalog/book/200")</f>
        <v>http://www.editora.ufpb.br/sistema/press5/index.php/UFPB/catalog/book/200</v>
      </c>
      <c r="I135" s="24" t="str">
        <f>IFERROR(__xludf.DUMMYFUNCTION("""COMPUTED_VALUE"""),"Ciências Sociais Aplicadas")</f>
        <v>Ciências Sociais Aplicadas</v>
      </c>
    </row>
    <row r="136">
      <c r="A136" s="24" t="str">
        <f>IFERROR(__xludf.DUMMYFUNCTION("""COMPUTED_VALUE"""),"Democracia Conectada e Governança Eleitoral")</f>
        <v>Democracia Conectada e Governança Eleitoral</v>
      </c>
      <c r="B136" s="24" t="str">
        <f>IFERROR(__xludf.DUMMYFUNCTION("""COMPUTED_VALUE"""),"André Motta de Almeida; Celso Fernandes Junior; Harisson Alexandre Targino; Pedro Nascimento (org.)")</f>
        <v>André Motta de Almeida; Celso Fernandes Junior; Harisson Alexandre Targino; Pedro Nascimento (org.)</v>
      </c>
      <c r="C136" s="24" t="str">
        <f>IFERROR(__xludf.DUMMYFUNCTION("""COMPUTED_VALUE"""),"Campina Grande")</f>
        <v>Campina Grande</v>
      </c>
      <c r="D136" s="24" t="str">
        <f>IFERROR(__xludf.DUMMYFUNCTION("""COMPUTED_VALUE"""),"EDUEPB")</f>
        <v>EDUEPB</v>
      </c>
      <c r="E136" s="25">
        <f>IFERROR(__xludf.DUMMYFUNCTION("""COMPUTED_VALUE"""),2020.0)</f>
        <v>2020</v>
      </c>
      <c r="F136" s="24" t="str">
        <f>IFERROR(__xludf.DUMMYFUNCTION("""COMPUTED_VALUE"""),"Direito eleitoral. Ciência política. Partidos políticos. Mulheres na política. Eleições - Fake news")</f>
        <v>Direito eleitoral. Ciência política. Partidos políticos. Mulheres na política. Eleições - Fake news</v>
      </c>
      <c r="G136" s="28" t="str">
        <f>IFERROR(__xludf.DUMMYFUNCTION("""COMPUTED_VALUE"""),"9786587171005")</f>
        <v>9786587171005</v>
      </c>
      <c r="H136" s="29" t="str">
        <f>IFERROR(__xludf.DUMMYFUNCTION("""COMPUTED_VALUE"""),"http://eduepb.uepb.edu.br/download/democracia-conectada/?wpdmdl=1021&amp;#038;masterkey=5eb4231044a6d")</f>
        <v>http://eduepb.uepb.edu.br/download/democracia-conectada/?wpdmdl=1021&amp;#038;masterkey=5eb4231044a6d</v>
      </c>
      <c r="I136" s="24" t="str">
        <f>IFERROR(__xludf.DUMMYFUNCTION("""COMPUTED_VALUE"""),"Ciências Sociais Aplicadas")</f>
        <v>Ciências Sociais Aplicadas</v>
      </c>
    </row>
    <row r="137">
      <c r="A137" s="24" t="str">
        <f>IFERROR(__xludf.DUMMYFUNCTION("""COMPUTED_VALUE"""),"Democracia participativa, sociedade civil e território")</f>
        <v>Democracia participativa, sociedade civil e território</v>
      </c>
      <c r="B137" s="24" t="str">
        <f>IFERROR(__xludf.DUMMYFUNCTION("""COMPUTED_VALUE"""),"Marx, Vanessa")</f>
        <v>Marx, Vanessa</v>
      </c>
      <c r="C137" s="24" t="str">
        <f>IFERROR(__xludf.DUMMYFUNCTION("""COMPUTED_VALUE"""),"Porto Alegre")</f>
        <v>Porto Alegre</v>
      </c>
      <c r="D137" s="24" t="str">
        <f>IFERROR(__xludf.DUMMYFUNCTION("""COMPUTED_VALUE"""),"UFRGS")</f>
        <v>UFRGS</v>
      </c>
      <c r="E137" s="25">
        <f>IFERROR(__xludf.DUMMYFUNCTION("""COMPUTED_VALUE"""),2018.0)</f>
        <v>2018</v>
      </c>
      <c r="F137" s="24" t="str">
        <f>IFERROR(__xludf.DUMMYFUNCTION("""COMPUTED_VALUE"""),"Brasil; Democracia participativa; Governança; Movimentos sociais; Orçamento participativo; Política pública; Políticas públicas; Sociedade civil")</f>
        <v>Brasil; Democracia participativa; Governança; Movimentos sociais; Orçamento participativo; Política pública; Políticas públicas; Sociedade civil</v>
      </c>
      <c r="G137" s="28" t="str">
        <f>IFERROR(__xludf.DUMMYFUNCTION("""COMPUTED_VALUE"""),"9788538604389")</f>
        <v>9788538604389</v>
      </c>
      <c r="H137" s="29" t="str">
        <f>IFERROR(__xludf.DUMMYFUNCTION("""COMPUTED_VALUE"""),"http://hdl.handle.net/10183/184842")</f>
        <v>http://hdl.handle.net/10183/184842</v>
      </c>
      <c r="I137" s="24" t="str">
        <f>IFERROR(__xludf.DUMMYFUNCTION("""COMPUTED_VALUE"""),"Ciências Sociais Aplicadas")</f>
        <v>Ciências Sociais Aplicadas</v>
      </c>
    </row>
    <row r="138">
      <c r="A138" s="24" t="str">
        <f>IFERROR(__xludf.DUMMYFUNCTION("""COMPUTED_VALUE"""),"Derechos sexuales y Derecho de Familia en perspectiva queer")</f>
        <v>Derechos sexuales y Derecho de Familia en perspectiva queer</v>
      </c>
      <c r="B138" s="24" t="str">
        <f>IFERROR(__xludf.DUMMYFUNCTION("""COMPUTED_VALUE"""),"Daniel Borrillo Fernando Seffner (org.) Roger Raupp Rios (org.); ")</f>
        <v>Daniel Borrillo Fernando Seffner (org.) Roger Raupp Rios (org.); </v>
      </c>
      <c r="C138" s="24" t="str">
        <f>IFERROR(__xludf.DUMMYFUNCTION("""COMPUTED_VALUE"""),"Porto Alegre")</f>
        <v>Porto Alegre</v>
      </c>
      <c r="D138" s="24" t="str">
        <f>IFERROR(__xludf.DUMMYFUNCTION("""COMPUTED_VALUE"""),"UFCSPA ")</f>
        <v>UFCSPA </v>
      </c>
      <c r="E138" s="25">
        <f>IFERROR(__xludf.DUMMYFUNCTION("""COMPUTED_VALUE"""),2018.0)</f>
        <v>2018</v>
      </c>
      <c r="F138" s="24" t="str">
        <f>IFERROR(__xludf.DUMMYFUNCTION("""COMPUTED_VALUE"""),"Direito Direito de família Direitos sexuais")</f>
        <v>Direito Direito de família Direitos sexuais</v>
      </c>
      <c r="G138" s="28" t="str">
        <f>IFERROR(__xludf.DUMMYFUNCTION("""COMPUTED_VALUE"""),"9788592652050")</f>
        <v>9788592652050</v>
      </c>
      <c r="H138" s="29" t="str">
        <f>IFERROR(__xludf.DUMMYFUNCTION("""COMPUTED_VALUE"""),"https://www.ufcspa.edu.br/editora_log/download.php?cod=005&amp;tipo=pdf")</f>
        <v>https://www.ufcspa.edu.br/editora_log/download.php?cod=005&amp;tipo=pdf</v>
      </c>
      <c r="I138" s="24" t="str">
        <f>IFERROR(__xludf.DUMMYFUNCTION("""COMPUTED_VALUE"""),"Ciências Sociais Aplicadas")</f>
        <v>Ciências Sociais Aplicadas</v>
      </c>
    </row>
    <row r="139">
      <c r="A139" s="24" t="str">
        <f>IFERROR(__xludf.DUMMYFUNCTION("""COMPUTED_VALUE"""),"Derechos sociales: fundamentación y garantías")</f>
        <v>Derechos sociales: fundamentación y garantías</v>
      </c>
      <c r="B139" s="24" t="str">
        <f>IFERROR(__xludf.DUMMYFUNCTION("""COMPUTED_VALUE"""),"Rodrigo Garcia Schwarz")</f>
        <v>Rodrigo Garcia Schwarz</v>
      </c>
      <c r="C139" s="24" t="str">
        <f>IFERROR(__xludf.DUMMYFUNCTION("""COMPUTED_VALUE"""),"Joaçaba")</f>
        <v>Joaçaba</v>
      </c>
      <c r="D139" s="24" t="str">
        <f>IFERROR(__xludf.DUMMYFUNCTION("""COMPUTED_VALUE"""),"Unoesc")</f>
        <v>Unoesc</v>
      </c>
      <c r="E139" s="25">
        <f>IFERROR(__xludf.DUMMYFUNCTION("""COMPUTED_VALUE"""),2019.0)</f>
        <v>2019</v>
      </c>
      <c r="F139" s="24" t="str">
        <f>IFERROR(__xludf.DUMMYFUNCTION("""COMPUTED_VALUE"""),"Legislação social, Garantia (Direito), Direitos humanos")</f>
        <v>Legislação social, Garantia (Direito), Direitos humanos</v>
      </c>
      <c r="G139" s="28" t="str">
        <f>IFERROR(__xludf.DUMMYFUNCTION("""COMPUTED_VALUE"""),"9788584222032")</f>
        <v>9788584222032</v>
      </c>
      <c r="H139" s="29" t="str">
        <f>IFERROR(__xludf.DUMMYFUNCTION("""COMPUTED_VALUE"""),"https://www.unoesc.edu.br/images/uploads/editora/Derechos_Sociales.pdf")</f>
        <v>https://www.unoesc.edu.br/images/uploads/editora/Derechos_Sociales.pdf</v>
      </c>
      <c r="I139" s="24" t="str">
        <f>IFERROR(__xludf.DUMMYFUNCTION("""COMPUTED_VALUE"""),"Ciências Sociais Aplicadas")</f>
        <v>Ciências Sociais Aplicadas</v>
      </c>
    </row>
    <row r="140">
      <c r="A140" s="24" t="str">
        <f>IFERROR(__xludf.DUMMYFUNCTION("""COMPUTED_VALUE"""),"Desafios da educação física: cultura e corpo emmovimento. ")</f>
        <v>Desafios da educação física: cultura e corpo emmovimento. </v>
      </c>
      <c r="B140" s="24" t="str">
        <f>IFERROR(__xludf.DUMMYFUNCTION("""COMPUTED_VALUE"""),"organizado por Manuel Pacheco Neto")</f>
        <v>organizado por Manuel Pacheco Neto</v>
      </c>
      <c r="C140" s="24" t="str">
        <f>IFERROR(__xludf.DUMMYFUNCTION("""COMPUTED_VALUE"""),"Dourados, MS")</f>
        <v>Dourados, MS</v>
      </c>
      <c r="D140" s="24" t="str">
        <f>IFERROR(__xludf.DUMMYFUNCTION("""COMPUTED_VALUE"""),"Ed. UFGD")</f>
        <v>Ed. UFGD</v>
      </c>
      <c r="E140" s="25">
        <f>IFERROR(__xludf.DUMMYFUNCTION("""COMPUTED_VALUE"""),2016.0)</f>
        <v>2016</v>
      </c>
      <c r="F140" s="24" t="str">
        <f>IFERROR(__xludf.DUMMYFUNCTION("""COMPUTED_VALUE"""),"Corpo; Movimento; Esporte. I")</f>
        <v>Corpo; Movimento; Esporte. I</v>
      </c>
      <c r="G140" s="28" t="str">
        <f>IFERROR(__xludf.DUMMYFUNCTION("""COMPUTED_VALUE"""),"9788581471211")</f>
        <v>9788581471211</v>
      </c>
      <c r="H140" s="29" t="str">
        <f>IFERROR(__xludf.DUMMYFUNCTION("""COMPUTED_VALUE"""),"http://omp.ufgd.edu.br/omp/index.php/livrosabertos/catalog/view/71/75/255-1")</f>
        <v>http://omp.ufgd.edu.br/omp/index.php/livrosabertos/catalog/view/71/75/255-1</v>
      </c>
      <c r="I140" s="24" t="str">
        <f>IFERROR(__xludf.DUMMYFUNCTION("""COMPUTED_VALUE"""),"Ciências Sociais Aplicadas")</f>
        <v>Ciências Sociais Aplicadas</v>
      </c>
    </row>
    <row r="141">
      <c r="A141" s="24" t="str">
        <f>IFERROR(__xludf.DUMMYFUNCTION("""COMPUTED_VALUE"""),"Desafios do direito privado contemporâneo: novos Direitos Sociais - Vol. 1 e 2 (disponível temporariamente)")</f>
        <v>Desafios do direito privado contemporâneo: novos Direitos Sociais - Vol. 1 e 2 (disponível temporariamente)</v>
      </c>
      <c r="B141" s="24" t="str">
        <f>IFERROR(__xludf.DUMMYFUNCTION("""COMPUTED_VALUE"""),"Adriano Marteleto Godinho; Ana Paula Correia de Albuquerque da Costa; Fabíola Albuquerque Lôbo; José Manuel Peixoto Caldas")</f>
        <v>Adriano Marteleto Godinho; Ana Paula Correia de Albuquerque da Costa; Fabíola Albuquerque Lôbo; José Manuel Peixoto Caldas</v>
      </c>
      <c r="C141" s="24" t="str">
        <f>IFERROR(__xludf.DUMMYFUNCTION("""COMPUTED_VALUE"""),"João Pessoa")</f>
        <v>João Pessoa</v>
      </c>
      <c r="D141" s="24" t="str">
        <f>IFERROR(__xludf.DUMMYFUNCTION("""COMPUTED_VALUE"""),"Editora da UFPB")</f>
        <v>Editora da UFPB</v>
      </c>
      <c r="E141" s="25">
        <f>IFERROR(__xludf.DUMMYFUNCTION("""COMPUTED_VALUE"""),2019.0)</f>
        <v>2019</v>
      </c>
      <c r="F141" s="24" t="str">
        <f>IFERROR(__xludf.DUMMYFUNCTION("""COMPUTED_VALUE"""),"Direitos dos cidadãos. Bem-estar social. Direitos civis")</f>
        <v>Direitos dos cidadãos. Bem-estar social. Direitos civis</v>
      </c>
      <c r="G141" s="28" t="str">
        <f>IFERROR(__xludf.DUMMYFUNCTION("""COMPUTED_VALUE"""),"9788523714406")</f>
        <v>9788523714406</v>
      </c>
      <c r="H141" s="29" t="str">
        <f>IFERROR(__xludf.DUMMYFUNCTION("""COMPUTED_VALUE"""),"http://www.editora.ufpb.br/sistema/press5/index.php/UFPB/catalog/book/145")</f>
        <v>http://www.editora.ufpb.br/sistema/press5/index.php/UFPB/catalog/book/145</v>
      </c>
      <c r="I141" s="24" t="str">
        <f>IFERROR(__xludf.DUMMYFUNCTION("""COMPUTED_VALUE"""),"Ciências Sociais Aplicadas")</f>
        <v>Ciências Sociais Aplicadas</v>
      </c>
    </row>
    <row r="142">
      <c r="A142" s="24" t="str">
        <f>IFERROR(__xludf.DUMMYFUNCTION("""COMPUTED_VALUE"""),"Desafios presentes e futuros do direito do trabalho: buscas entre intersecções por um novo alvorecer")</f>
        <v>Desafios presentes e futuros do direito do trabalho: buscas entre intersecções por um novo alvorecer</v>
      </c>
      <c r="B142" s="24" t="str">
        <f>IFERROR(__xludf.DUMMYFUNCTION("""COMPUTED_VALUE"""),"Regina Stela Corrêa Vieira, Robison Tramontina")</f>
        <v>Regina Stela Corrêa Vieira, Robison Tramontina</v>
      </c>
      <c r="C142" s="24" t="str">
        <f>IFERROR(__xludf.DUMMYFUNCTION("""COMPUTED_VALUE"""),"Joaçaba")</f>
        <v>Joaçaba</v>
      </c>
      <c r="D142" s="24" t="str">
        <f>IFERROR(__xludf.DUMMYFUNCTION("""COMPUTED_VALUE"""),"Unoesc")</f>
        <v>Unoesc</v>
      </c>
      <c r="E142" s="25">
        <f>IFERROR(__xludf.DUMMYFUNCTION("""COMPUTED_VALUE"""),2020.0)</f>
        <v>2020</v>
      </c>
      <c r="F142" s="24" t="str">
        <f>IFERROR(__xludf.DUMMYFUNCTION("""COMPUTED_VALUE"""),"Direito do trabalho Direitos fundamentais")</f>
        <v>Direito do trabalho Direitos fundamentais</v>
      </c>
      <c r="G142" s="28" t="str">
        <f>IFERROR(__xludf.DUMMYFUNCTION("""COMPUTED_VALUE"""),"9786586158182")</f>
        <v>9786586158182</v>
      </c>
      <c r="H142" s="29" t="str">
        <f>IFERROR(__xludf.DUMMYFUNCTION("""COMPUTED_VALUE"""),"https://www.unoesc.edu.br/images/uploads/editora/Miolo_-_Desafios_do_presente_e_do_futuro.pdf")</f>
        <v>https://www.unoesc.edu.br/images/uploads/editora/Miolo_-_Desafios_do_presente_e_do_futuro.pdf</v>
      </c>
      <c r="I142" s="24" t="str">
        <f>IFERROR(__xludf.DUMMYFUNCTION("""COMPUTED_VALUE"""),"Ciências Sociais Aplicadas")</f>
        <v>Ciências Sociais Aplicadas</v>
      </c>
    </row>
    <row r="143">
      <c r="A143" s="24" t="str">
        <f>IFERROR(__xludf.DUMMYFUNCTION("""COMPUTED_VALUE"""),"Desenvolvimento regional no Paraná: ações e reflexões")</f>
        <v>Desenvolvimento regional no Paraná: ações e reflexões</v>
      </c>
      <c r="B143" s="24" t="str">
        <f>IFERROR(__xludf.DUMMYFUNCTION("""COMPUTED_VALUE"""),"Adalberto Dias de Souza; Fábio Rodrigues da Costa (org.)")</f>
        <v>Adalberto Dias de Souza; Fábio Rodrigues da Costa (org.)</v>
      </c>
      <c r="C143" s="24" t="str">
        <f>IFERROR(__xludf.DUMMYFUNCTION("""COMPUTED_VALUE"""),"Campo Mourão, PR")</f>
        <v>Campo Mourão, PR</v>
      </c>
      <c r="D143" s="24" t="str">
        <f>IFERROR(__xludf.DUMMYFUNCTION("""COMPUTED_VALUE"""),"Editora Fecilcam")</f>
        <v>Editora Fecilcam</v>
      </c>
      <c r="E143" s="25">
        <f>IFERROR(__xludf.DUMMYFUNCTION("""COMPUTED_VALUE"""),2018.0)</f>
        <v>2018</v>
      </c>
      <c r="F143" s="24" t="str">
        <f>IFERROR(__xludf.DUMMYFUNCTION("""COMPUTED_VALUE"""),"Desenvolvimento regional. Política pública. Produção do espaço")</f>
        <v>Desenvolvimento regional. Política pública. Produção do espaço</v>
      </c>
      <c r="G143" s="28" t="str">
        <f>IFERROR(__xludf.DUMMYFUNCTION("""COMPUTED_VALUE"""),"9788588753501")</f>
        <v>9788588753501</v>
      </c>
      <c r="H143" s="29" t="str">
        <f>IFERROR(__xludf.DUMMYFUNCTION("""COMPUTED_VALUE"""),"http://campomourao.unespar.edu.br/editora/obras-digitais/desenvolvimento-regional-no-parana-acoes-e-reflexoes")</f>
        <v>http://campomourao.unespar.edu.br/editora/obras-digitais/desenvolvimento-regional-no-parana-acoes-e-reflexoes</v>
      </c>
      <c r="I143" s="24" t="str">
        <f>IFERROR(__xludf.DUMMYFUNCTION("""COMPUTED_VALUE"""),"Ciências Sociais Aplicadas")</f>
        <v>Ciências Sociais Aplicadas</v>
      </c>
    </row>
    <row r="144">
      <c r="A144" s="24" t="str">
        <f>IFERROR(__xludf.DUMMYFUNCTION("""COMPUTED_VALUE"""),"Design de Interiores: Da teoria à Prática")</f>
        <v>Design de Interiores: Da teoria à Prática</v>
      </c>
      <c r="B144" s="24" t="str">
        <f>IFERROR(__xludf.DUMMYFUNCTION("""COMPUTED_VALUE"""),"orgaizador Aarão Pereira de Araújo Júnior")</f>
        <v>orgaizador Aarão Pereira de Araújo Júnior</v>
      </c>
      <c r="C144" s="24" t="str">
        <f>IFERROR(__xludf.DUMMYFUNCTION("""COMPUTED_VALUE"""),"João Pessoa")</f>
        <v>João Pessoa</v>
      </c>
      <c r="D144" s="24" t="str">
        <f>IFERROR(__xludf.DUMMYFUNCTION("""COMPUTED_VALUE"""),"Editora IFPB")</f>
        <v>Editora IFPB</v>
      </c>
      <c r="E144" s="25">
        <f>IFERROR(__xludf.DUMMYFUNCTION("""COMPUTED_VALUE"""),2015.0)</f>
        <v>2015</v>
      </c>
      <c r="F144" s="24" t="str">
        <f>IFERROR(__xludf.DUMMYFUNCTION("""COMPUTED_VALUE"""),"Design de interiores; Conforto do ambiente; Ergonomia; Acessibilidade; Sustentabilidade")</f>
        <v>Design de interiores; Conforto do ambiente; Ergonomia; Acessibilidade; Sustentabilidade</v>
      </c>
      <c r="G144" s="28" t="str">
        <f>IFERROR(__xludf.DUMMYFUNCTION("""COMPUTED_VALUE"""),"9788563406590")</f>
        <v>9788563406590</v>
      </c>
      <c r="H144" s="29" t="str">
        <f>IFERROR(__xludf.DUMMYFUNCTION("""COMPUTED_VALUE"""),"http://editora.ifpb.edu.br/index.php/ifpb/catalog/book/51")</f>
        <v>http://editora.ifpb.edu.br/index.php/ifpb/catalog/book/51</v>
      </c>
      <c r="I144" s="24" t="str">
        <f>IFERROR(__xludf.DUMMYFUNCTION("""COMPUTED_VALUE"""),"Ciências Sociais Aplicadas")</f>
        <v>Ciências Sociais Aplicadas</v>
      </c>
    </row>
    <row r="145">
      <c r="A145" s="24" t="str">
        <f>IFERROR(__xludf.DUMMYFUNCTION("""COMPUTED_VALUE"""),"Diálogos do Direito Hodierno")</f>
        <v>Diálogos do Direito Hodierno</v>
      </c>
      <c r="B145" s="24" t="str">
        <f>IFERROR(__xludf.DUMMYFUNCTION("""COMPUTED_VALUE"""),"Francisco de Assis Barbosa Junior; Fábio Severino Nascimento (org.)")</f>
        <v>Francisco de Assis Barbosa Junior; Fábio Severino Nascimento (org.)</v>
      </c>
      <c r="C145" s="24" t="str">
        <f>IFERROR(__xludf.DUMMYFUNCTION("""COMPUTED_VALUE"""),"Campina Grande")</f>
        <v>Campina Grande</v>
      </c>
      <c r="D145" s="24" t="str">
        <f>IFERROR(__xludf.DUMMYFUNCTION("""COMPUTED_VALUE"""),"EDUEPB")</f>
        <v>EDUEPB</v>
      </c>
      <c r="E145" s="25">
        <f>IFERROR(__xludf.DUMMYFUNCTION("""COMPUTED_VALUE"""),2019.0)</f>
        <v>2019</v>
      </c>
      <c r="F145" s="24" t="str">
        <f>IFERROR(__xludf.DUMMYFUNCTION("""COMPUTED_VALUE"""),"Direito do trabalho. Direito e tecnologia da informação - indústria;0. Reforma trabalhista - 2017. Direito ambiental do trabalho. trabalho autônomo - uber. Direito e literatura")</f>
        <v>Direito do trabalho. Direito e tecnologia da informação - indústria;0. Reforma trabalhista - 2017. Direito ambiental do trabalho. trabalho autônomo - uber. Direito e literatura</v>
      </c>
      <c r="G145" s="28" t="str">
        <f>IFERROR(__xludf.DUMMYFUNCTION("""COMPUTED_VALUE"""),"9788578795542")</f>
        <v>9788578795542</v>
      </c>
      <c r="H145" s="29" t="str">
        <f>IFERROR(__xludf.DUMMYFUNCTION("""COMPUTED_VALUE"""),"http://eduepb.uepb.edu.br/download/dialogos-do-direito-hodierno/?wpdmdl=655&amp;amp;masterkey=5cb480d48f615")</f>
        <v>http://eduepb.uepb.edu.br/download/dialogos-do-direito-hodierno/?wpdmdl=655&amp;amp;masterkey=5cb480d48f615</v>
      </c>
      <c r="I145" s="24" t="str">
        <f>IFERROR(__xludf.DUMMYFUNCTION("""COMPUTED_VALUE"""),"Ciências Sociais Aplicadas")</f>
        <v>Ciências Sociais Aplicadas</v>
      </c>
    </row>
    <row r="146">
      <c r="A146" s="24" t="str">
        <f>IFERROR(__xludf.DUMMYFUNCTION("""COMPUTED_VALUE"""),"Diálogos entre antropologia, direito e políticas públicas: ocaso dos indígenas no sul de Mato Grosso do Sul ")</f>
        <v>Diálogos entre antropologia, direito e políticas públicas: ocaso dos indígenas no sul de Mato Grosso do Sul </v>
      </c>
      <c r="B146" s="24" t="str">
        <f>IFERROR(__xludf.DUMMYFUNCTION("""COMPUTED_VALUE"""),"(org.) Cíntia Beatriz Müller, Ellen Cristina de Almeida, Simone Becker. ")</f>
        <v>(org.) Cíntia Beatriz Müller, Ellen Cristina de Almeida, Simone Becker. </v>
      </c>
      <c r="C146" s="24" t="str">
        <f>IFERROR(__xludf.DUMMYFUNCTION("""COMPUTED_VALUE"""),"Dourados, MS")</f>
        <v>Dourados, MS</v>
      </c>
      <c r="D146" s="24" t="str">
        <f>IFERROR(__xludf.DUMMYFUNCTION("""COMPUTED_VALUE"""),"Ed. UFGD")</f>
        <v>Ed. UFGD</v>
      </c>
      <c r="E146" s="25">
        <f>IFERROR(__xludf.DUMMYFUNCTION("""COMPUTED_VALUE"""),2012.0)</f>
        <v>2012</v>
      </c>
      <c r="F146" s="24" t="str">
        <f>IFERROR(__xludf.DUMMYFUNCTION("""COMPUTED_VALUE"""),"Índios – Mato Grosso do Sul; Indígenas – Condições Sociais; Cidadania indígena")</f>
        <v>Índios – Mato Grosso do Sul; Indígenas – Condições Sociais; Cidadania indígena</v>
      </c>
      <c r="G146" s="28" t="str">
        <f>IFERROR(__xludf.DUMMYFUNCTION("""COMPUTED_VALUE"""),"9788561228859")</f>
        <v>9788561228859</v>
      </c>
      <c r="H146" s="29" t="str">
        <f>IFERROR(__xludf.DUMMYFUNCTION("""COMPUTED_VALUE"""),"http://omp.ufgd.edu.br/omp/index.php/livrosabertos/catalog/view/83/90/336-1")</f>
        <v>http://omp.ufgd.edu.br/omp/index.php/livrosabertos/catalog/view/83/90/336-1</v>
      </c>
      <c r="I146" s="24" t="str">
        <f>IFERROR(__xludf.DUMMYFUNCTION("""COMPUTED_VALUE"""),"Ciências Sociais Aplicadas")</f>
        <v>Ciências Sociais Aplicadas</v>
      </c>
    </row>
    <row r="147">
      <c r="A147" s="24" t="str">
        <f>IFERROR(__xludf.DUMMYFUNCTION("""COMPUTED_VALUE"""),"Diálogos sobre Direito e Justiça")</f>
        <v>Diálogos sobre Direito e Justiça</v>
      </c>
      <c r="B147" s="24" t="str">
        <f>IFERROR(__xludf.DUMMYFUNCTION("""COMPUTED_VALUE"""),"Cristhian Magnus De Marco e Magda Cristiane Detsch da Silva")</f>
        <v>Cristhian Magnus De Marco e Magda Cristiane Detsch da Silva</v>
      </c>
      <c r="C147" s="24" t="str">
        <f>IFERROR(__xludf.DUMMYFUNCTION("""COMPUTED_VALUE"""),"Joaçaba")</f>
        <v>Joaçaba</v>
      </c>
      <c r="D147" s="24" t="str">
        <f>IFERROR(__xludf.DUMMYFUNCTION("""COMPUTED_VALUE"""),"Unoesc")</f>
        <v>Unoesc</v>
      </c>
      <c r="E147" s="25">
        <f>IFERROR(__xludf.DUMMYFUNCTION("""COMPUTED_VALUE"""),2018.0)</f>
        <v>2018</v>
      </c>
      <c r="F147" s="24" t="str">
        <f>IFERROR(__xludf.DUMMYFUNCTION("""COMPUTED_VALUE"""),"Direito, Justiça")</f>
        <v>Direito, Justiça</v>
      </c>
      <c r="G147" s="28" t="str">
        <f>IFERROR(__xludf.DUMMYFUNCTION("""COMPUTED_VALUE"""),"9788584222018")</f>
        <v>9788584222018</v>
      </c>
      <c r="H147" s="29" t="str">
        <f>IFERROR(__xludf.DUMMYFUNCTION("""COMPUTED_VALUE"""),"https://www.unoesc.edu.br/images/uploads/editora/S%c3%a9rie_Di%c3%a1logos_sobre_Direito_e_Justi%c3%a7a_-_2018.pdf")</f>
        <v>https://www.unoesc.edu.br/images/uploads/editora/S%c3%a9rie_Di%c3%a1logos_sobre_Direito_e_Justi%c3%a7a_-_2018.pdf</v>
      </c>
      <c r="I147" s="24" t="str">
        <f>IFERROR(__xludf.DUMMYFUNCTION("""COMPUTED_VALUE"""),"Ciências Sociais Aplicadas")</f>
        <v>Ciências Sociais Aplicadas</v>
      </c>
    </row>
    <row r="148">
      <c r="A148" s="24" t="str">
        <f>IFERROR(__xludf.DUMMYFUNCTION("""COMPUTED_VALUE"""),"Diálogos sobre Direito e Justiça")</f>
        <v>Diálogos sobre Direito e Justiça</v>
      </c>
      <c r="B148" s="24" t="str">
        <f>IFERROR(__xludf.DUMMYFUNCTION("""COMPUTED_VALUE"""),"Cristhian Magnus De Marco e Magda Cristiane Detsch da Silva")</f>
        <v>Cristhian Magnus De Marco e Magda Cristiane Detsch da Silva</v>
      </c>
      <c r="C148" s="24" t="str">
        <f>IFERROR(__xludf.DUMMYFUNCTION("""COMPUTED_VALUE"""),"Joaçaba")</f>
        <v>Joaçaba</v>
      </c>
      <c r="D148" s="24" t="str">
        <f>IFERROR(__xludf.DUMMYFUNCTION("""COMPUTED_VALUE"""),"Unoesc")</f>
        <v>Unoesc</v>
      </c>
      <c r="E148" s="25">
        <f>IFERROR(__xludf.DUMMYFUNCTION("""COMPUTED_VALUE"""),2017.0)</f>
        <v>2017</v>
      </c>
      <c r="F148" s="24" t="str">
        <f>IFERROR(__xludf.DUMMYFUNCTION("""COMPUTED_VALUE"""),"Direito, Justiça")</f>
        <v>Direito, Justiça</v>
      </c>
      <c r="G148" s="28" t="str">
        <f>IFERROR(__xludf.DUMMYFUNCTION("""COMPUTED_VALUE"""),"9788584221738")</f>
        <v>9788584221738</v>
      </c>
      <c r="H148" s="29" t="str">
        <f>IFERROR(__xludf.DUMMYFUNCTION("""COMPUTED_VALUE"""),"https://www.unoesc.edu.br/images/uploads/editora/S%c3%a9rie_Di%c3%a1logos_sobre_Direito_e_Justi%c3%a7a_2017.pdf")</f>
        <v>https://www.unoesc.edu.br/images/uploads/editora/S%c3%a9rie_Di%c3%a1logos_sobre_Direito_e_Justi%c3%a7a_2017.pdf</v>
      </c>
      <c r="I148" s="24" t="str">
        <f>IFERROR(__xludf.DUMMYFUNCTION("""COMPUTED_VALUE"""),"Ciências Sociais Aplicadas")</f>
        <v>Ciências Sociais Aplicadas</v>
      </c>
    </row>
    <row r="149">
      <c r="A149" s="24" t="str">
        <f>IFERROR(__xludf.DUMMYFUNCTION("""COMPUTED_VALUE"""),"Dicionário crítico: política de assistência social no Brasil")</f>
        <v>Dicionário crítico: política de assistência social no Brasil</v>
      </c>
      <c r="B149" s="24" t="str">
        <f>IFERROR(__xludf.DUMMYFUNCTION("""COMPUTED_VALUE"""),"Fernandes, Rosa Maria Castilhos; Hellmann, Aline Gazola ")</f>
        <v>Fernandes, Rosa Maria Castilhos; Hellmann, Aline Gazola </v>
      </c>
      <c r="C149" s="24" t="str">
        <f>IFERROR(__xludf.DUMMYFUNCTION("""COMPUTED_VALUE"""),"Porto Alegre")</f>
        <v>Porto Alegre</v>
      </c>
      <c r="D149" s="24" t="str">
        <f>IFERROR(__xludf.DUMMYFUNCTION("""COMPUTED_VALUE"""),"UFRGS")</f>
        <v>UFRGS</v>
      </c>
      <c r="E149" s="25">
        <f>IFERROR(__xludf.DUMMYFUNCTION("""COMPUTED_VALUE"""),2016.0)</f>
        <v>2016</v>
      </c>
      <c r="F149" s="24" t="str">
        <f>IFERROR(__xludf.DUMMYFUNCTION("""COMPUTED_VALUE"""),"Acessibilidade; Assistência social; Assistência social : Dicionários; Política social : Brasil")</f>
        <v>Acessibilidade; Assistência social; Assistência social : Dicionários; Política social : Brasil</v>
      </c>
      <c r="G149" s="28" t="str">
        <f>IFERROR(__xludf.DUMMYFUNCTION("""COMPUTED_VALUE"""),"9788538604853")</f>
        <v>9788538604853</v>
      </c>
      <c r="H149" s="29" t="str">
        <f>IFERROR(__xludf.DUMMYFUNCTION("""COMPUTED_VALUE"""),"http://hdl.handle.net/10183/198716")</f>
        <v>http://hdl.handle.net/10183/198716</v>
      </c>
      <c r="I149" s="24" t="str">
        <f>IFERROR(__xludf.DUMMYFUNCTION("""COMPUTED_VALUE"""),"Ciências Sociais Aplicadas")</f>
        <v>Ciências Sociais Aplicadas</v>
      </c>
    </row>
    <row r="150">
      <c r="A150" s="24" t="str">
        <f>IFERROR(__xludf.DUMMYFUNCTION("""COMPUTED_VALUE"""),"Dimensões da integração regional: uma perspectiva panorâmica")</f>
        <v>Dimensões da integração regional: uma perspectiva panorâmica</v>
      </c>
      <c r="B150" s="24" t="str">
        <f>IFERROR(__xludf.DUMMYFUNCTION("""COMPUTED_VALUE"""),"Pennaforte, Charles; Martins, Marcos Antônio Fávaro")</f>
        <v>Pennaforte, Charles; Martins, Marcos Antônio Fávaro</v>
      </c>
      <c r="C150" s="24" t="str">
        <f>IFERROR(__xludf.DUMMYFUNCTION("""COMPUTED_VALUE"""),"Pelotas")</f>
        <v>Pelotas</v>
      </c>
      <c r="D150" s="24" t="str">
        <f>IFERROR(__xludf.DUMMYFUNCTION("""COMPUTED_VALUE"""),"UFPel")</f>
        <v>UFPel</v>
      </c>
      <c r="E150" s="25">
        <f>IFERROR(__xludf.DUMMYFUNCTION("""COMPUTED_VALUE"""),2018.0)</f>
        <v>2018</v>
      </c>
      <c r="F150" s="24" t="str">
        <f>IFERROR(__xludf.DUMMYFUNCTION("""COMPUTED_VALUE"""),"Relações internacionais; Integração sul-americana; Integração econômica; Economia")</f>
        <v>Relações internacionais; Integração sul-americana; Integração econômica; Economia</v>
      </c>
      <c r="G150" s="28" t="str">
        <f>IFERROR(__xludf.DUMMYFUNCTION("""COMPUTED_VALUE"""),"9788551700259")</f>
        <v>9788551700259</v>
      </c>
      <c r="H150" s="29" t="str">
        <f>IFERROR(__xludf.DUMMYFUNCTION("""COMPUTED_VALUE"""),"http://guaiaca.ufpel.edu.br:8080/bitstream/prefix/4192/1/Dimensoes%20da%20integracao%20regional_EBOOK%20%20%281%29.pdf")</f>
        <v>http://guaiaca.ufpel.edu.br:8080/bitstream/prefix/4192/1/Dimensoes%20da%20integracao%20regional_EBOOK%20%20%281%29.pdf</v>
      </c>
      <c r="I150" s="24" t="str">
        <f>IFERROR(__xludf.DUMMYFUNCTION("""COMPUTED_VALUE"""),"Ciências Sociais Aplicadas")</f>
        <v>Ciências Sociais Aplicadas</v>
      </c>
    </row>
    <row r="151">
      <c r="A151" s="24" t="str">
        <f>IFERROR(__xludf.DUMMYFUNCTION("""COMPUTED_VALUE"""),"Direito à água e cidades (disponível temporariamente)")</f>
        <v>Direito à água e cidades (disponível temporariamente)</v>
      </c>
      <c r="B151" s="24" t="str">
        <f>IFERROR(__xludf.DUMMYFUNCTION("""COMPUTED_VALUE"""),"Talden Farias; José Irivaldo Alves O. Silva")</f>
        <v>Talden Farias; José Irivaldo Alves O. Silva</v>
      </c>
      <c r="C151" s="24" t="str">
        <f>IFERROR(__xludf.DUMMYFUNCTION("""COMPUTED_VALUE"""),"João Pessoa")</f>
        <v>João Pessoa</v>
      </c>
      <c r="D151" s="24" t="str">
        <f>IFERROR(__xludf.DUMMYFUNCTION("""COMPUTED_VALUE"""),"Editora da UFPB")</f>
        <v>Editora da UFPB</v>
      </c>
      <c r="E151" s="25">
        <f>IFERROR(__xludf.DUMMYFUNCTION("""COMPUTED_VALUE"""),2019.0)</f>
        <v>2019</v>
      </c>
      <c r="F151" s="24" t="str">
        <f>IFERROR(__xludf.DUMMYFUNCTION("""COMPUTED_VALUE"""),"Direito à água. Direitos humanos. Direito ambiental")</f>
        <v>Direito à água. Direitos humanos. Direito ambiental</v>
      </c>
      <c r="G151" s="28" t="str">
        <f>IFERROR(__xludf.DUMMYFUNCTION("""COMPUTED_VALUE"""),"9788523714437")</f>
        <v>9788523714437</v>
      </c>
      <c r="H151" s="29" t="str">
        <f>IFERROR(__xludf.DUMMYFUNCTION("""COMPUTED_VALUE"""),"http://www.editora.ufpb.br/sistema/press5/index.php/UFPB/catalog/book/143")</f>
        <v>http://www.editora.ufpb.br/sistema/press5/index.php/UFPB/catalog/book/143</v>
      </c>
      <c r="I151" s="24" t="str">
        <f>IFERROR(__xludf.DUMMYFUNCTION("""COMPUTED_VALUE"""),"Ciências Sociais Aplicadas")</f>
        <v>Ciências Sociais Aplicadas</v>
      </c>
    </row>
    <row r="152">
      <c r="A152" s="24" t="str">
        <f>IFERROR(__xludf.DUMMYFUNCTION("""COMPUTED_VALUE"""),"Direito Ambiental do Trabalho na Atividade Mineradora na Amazônia: um campo em construção")</f>
        <v>Direito Ambiental do Trabalho na Atividade Mineradora na Amazônia: um campo em construção</v>
      </c>
      <c r="B152" s="24" t="str">
        <f>IFERROR(__xludf.DUMMYFUNCTION("""COMPUTED_VALUE"""),"LUIZ LABOISSIERE JR.")</f>
        <v>LUIZ LABOISSIERE JR.</v>
      </c>
      <c r="C152" s="24" t="str">
        <f>IFERROR(__xludf.DUMMYFUNCTION("""COMPUTED_VALUE"""),"Macapá")</f>
        <v>Macapá</v>
      </c>
      <c r="D152" s="24" t="str">
        <f>IFERROR(__xludf.DUMMYFUNCTION("""COMPUTED_VALUE"""),"UNIFAP")</f>
        <v>UNIFAP</v>
      </c>
      <c r="E152" s="25">
        <f>IFERROR(__xludf.DUMMYFUNCTION("""COMPUTED_VALUE"""),2018.0)</f>
        <v>2018</v>
      </c>
      <c r="F152" s="24" t="str">
        <f>IFERROR(__xludf.DUMMYFUNCTION("""COMPUTED_VALUE"""),"Direito Ambiental; Direito do Trabalho; Mineração; Amazônia")</f>
        <v>Direito Ambiental; Direito do Trabalho; Mineração; Amazônia</v>
      </c>
      <c r="G152" s="28" t="str">
        <f>IFERROR(__xludf.DUMMYFUNCTION("""COMPUTED_VALUE"""),"9788554760144")</f>
        <v>9788554760144</v>
      </c>
      <c r="H152" s="29" t="str">
        <f>IFERROR(__xludf.DUMMYFUNCTION("""COMPUTED_VALUE"""),"https://www2.unifap.br/editora/files/2014/12/Livro-Direito-Ambiental-do-Trabalho-na-Atividade-Mineradora-na-Amaz%c3%b4nia-Luiz-Laboissiere-Jr.pdf")</f>
        <v>https://www2.unifap.br/editora/files/2014/12/Livro-Direito-Ambiental-do-Trabalho-na-Atividade-Mineradora-na-Amaz%c3%b4nia-Luiz-Laboissiere-Jr.pdf</v>
      </c>
      <c r="I152" s="24" t="str">
        <f>IFERROR(__xludf.DUMMYFUNCTION("""COMPUTED_VALUE"""),"Ciências Sociais Aplicadas")</f>
        <v>Ciências Sociais Aplicadas</v>
      </c>
    </row>
    <row r="153">
      <c r="A153" s="24" t="str">
        <f>IFERROR(__xludf.DUMMYFUNCTION("""COMPUTED_VALUE"""),"Direito constitucional penal ")</f>
        <v>Direito constitucional penal </v>
      </c>
      <c r="B153" s="24" t="str">
        <f>IFERROR(__xludf.DUMMYFUNCTION("""COMPUTED_VALUE"""),"Carlos Valder do Nascimento")</f>
        <v>Carlos Valder do Nascimento</v>
      </c>
      <c r="C153" s="24" t="str">
        <f>IFERROR(__xludf.DUMMYFUNCTION("""COMPUTED_VALUE"""),"Ilhéus, BA")</f>
        <v>Ilhéus, BA</v>
      </c>
      <c r="D153" s="24" t="str">
        <f>IFERROR(__xludf.DUMMYFUNCTION("""COMPUTED_VALUE"""),"Editus")</f>
        <v>Editus</v>
      </c>
      <c r="E153" s="25">
        <f>IFERROR(__xludf.DUMMYFUNCTION("""COMPUTED_VALUE"""),2014.0)</f>
        <v>2014</v>
      </c>
      <c r="F153" s="24" t="str">
        <f>IFERROR(__xludf.DUMMYFUNCTION("""COMPUTED_VALUE"""),"Direito penal – Brasil; Direito constitucional – Brasil")</f>
        <v>Direito penal – Brasil; Direito constitucional – Brasil</v>
      </c>
      <c r="G153" s="28" t="str">
        <f>IFERROR(__xludf.DUMMYFUNCTION("""COMPUTED_VALUE"""),"9788574553283")</f>
        <v>9788574553283</v>
      </c>
      <c r="H153" s="29" t="str">
        <f>IFERROR(__xludf.DUMMYFUNCTION("""COMPUTED_VALUE"""),"http://www.uesc.br/editora/livrosdigitais2017/direito_constitucional_penal.pdf")</f>
        <v>http://www.uesc.br/editora/livrosdigitais2017/direito_constitucional_penal.pdf</v>
      </c>
      <c r="I153" s="24" t="str">
        <f>IFERROR(__xludf.DUMMYFUNCTION("""COMPUTED_VALUE"""),"Ciências Sociais Aplicadas")</f>
        <v>Ciências Sociais Aplicadas</v>
      </c>
    </row>
    <row r="154">
      <c r="A154" s="24" t="str">
        <f>IFERROR(__xludf.DUMMYFUNCTION("""COMPUTED_VALUE"""),"Direito do Patrimônio Cultural: compêndio da legislação brasileira")</f>
        <v>Direito do Patrimônio Cultural: compêndio da legislação brasileira</v>
      </c>
      <c r="B154" s="24" t="str">
        <f>IFERROR(__xludf.DUMMYFUNCTION("""COMPUTED_VALUE"""),"Carlos Magno de Souza Paiva")</f>
        <v>Carlos Magno de Souza Paiva</v>
      </c>
      <c r="C154" s="24" t="str">
        <f>IFERROR(__xludf.DUMMYFUNCTION("""COMPUTED_VALUE"""),"Ouro Preto")</f>
        <v>Ouro Preto</v>
      </c>
      <c r="D154" s="24" t="str">
        <f>IFERROR(__xludf.DUMMYFUNCTION("""COMPUTED_VALUE"""),"UFOP")</f>
        <v>UFOP</v>
      </c>
      <c r="E154" s="25">
        <f>IFERROR(__xludf.DUMMYFUNCTION("""COMPUTED_VALUE"""),2011.0)</f>
        <v>2011</v>
      </c>
      <c r="F154" s="24" t="str">
        <f>IFERROR(__xludf.DUMMYFUNCTION("""COMPUTED_VALUE"""),"Direito civil; Código civil (Brasil); Patrimônio cultural")</f>
        <v>Direito civil; Código civil (Brasil); Patrimônio cultural</v>
      </c>
      <c r="G154" s="28" t="str">
        <f>IFERROR(__xludf.DUMMYFUNCTION("""COMPUTED_VALUE"""),"9788528802689")</f>
        <v>9788528802689</v>
      </c>
      <c r="H154" s="29" t="str">
        <f>IFERROR(__xludf.DUMMYFUNCTION("""COMPUTED_VALUE"""),"https://www.editora.ufop.br/index.php/editora/catalog/book/25")</f>
        <v>https://www.editora.ufop.br/index.php/editora/catalog/book/25</v>
      </c>
      <c r="I154" s="24" t="str">
        <f>IFERROR(__xludf.DUMMYFUNCTION("""COMPUTED_VALUE"""),"Ciências Sociais Aplicadas")</f>
        <v>Ciências Sociais Aplicadas</v>
      </c>
    </row>
    <row r="155">
      <c r="A155" s="24" t="str">
        <f>IFERROR(__xludf.DUMMYFUNCTION("""COMPUTED_VALUE"""),"Direito e Novas tecnologias: Perspectivas na Sociedade da Informação e Cibercultura")</f>
        <v>Direito e Novas tecnologias: Perspectivas na Sociedade da Informação e Cibercultura</v>
      </c>
      <c r="B155" s="24" t="str">
        <f>IFERROR(__xludf.DUMMYFUNCTION("""COMPUTED_VALUE"""),"Vinícius Almada Mozeti")</f>
        <v>Vinícius Almada Mozeti</v>
      </c>
      <c r="C155" s="24" t="str">
        <f>IFERROR(__xludf.DUMMYFUNCTION("""COMPUTED_VALUE"""),"Joaçaba")</f>
        <v>Joaçaba</v>
      </c>
      <c r="D155" s="24" t="str">
        <f>IFERROR(__xludf.DUMMYFUNCTION("""COMPUTED_VALUE"""),"Unoesc")</f>
        <v>Unoesc</v>
      </c>
      <c r="E155" s="25">
        <f>IFERROR(__xludf.DUMMYFUNCTION("""COMPUTED_VALUE"""),2017.0)</f>
        <v>2017</v>
      </c>
      <c r="F155" s="24" t="str">
        <f>IFERROR(__xludf.DUMMYFUNCTION("""COMPUTED_VALUE"""),"Direitos fundamentais, Tecnologia e direito")</f>
        <v>Direitos fundamentais, Tecnologia e direito</v>
      </c>
      <c r="G155" s="28" t="str">
        <f>IFERROR(__xludf.DUMMYFUNCTION("""COMPUTED_VALUE"""),"9788584221486")</f>
        <v>9788584221486</v>
      </c>
      <c r="H155" s="29" t="str">
        <f>IFERROR(__xludf.DUMMYFUNCTION("""COMPUTED_VALUE"""),"https://www.unoesc.edu.br/images/uploads/editora/Direito_e_Novas_tecnologias_Perspectivas_na_Sociedade_da_Informa%c3%a7%c3%a3o_e_Cibercultura.pdf")</f>
        <v>https://www.unoesc.edu.br/images/uploads/editora/Direito_e_Novas_tecnologias_Perspectivas_na_Sociedade_da_Informa%c3%a7%c3%a3o_e_Cibercultura.pdf</v>
      </c>
      <c r="I155" s="24" t="str">
        <f>IFERROR(__xludf.DUMMYFUNCTION("""COMPUTED_VALUE"""),"Ciências Sociais Aplicadas")</f>
        <v>Ciências Sociais Aplicadas</v>
      </c>
    </row>
    <row r="156">
      <c r="A156" s="24" t="str">
        <f>IFERROR(__xludf.DUMMYFUNCTION("""COMPUTED_VALUE"""),"Direito fundamental ao trabalho digno: tomo III")</f>
        <v>Direito fundamental ao trabalho digno: tomo III</v>
      </c>
      <c r="B156" s="24" t="str">
        <f>IFERROR(__xludf.DUMMYFUNCTION("""COMPUTED_VALUE"""),"Rodrigo Garcia Schwarz, Anna Leticia Piccoli e Rosane Machado Carneiro")</f>
        <v>Rodrigo Garcia Schwarz, Anna Leticia Piccoli e Rosane Machado Carneiro</v>
      </c>
      <c r="C156" s="24" t="str">
        <f>IFERROR(__xludf.DUMMYFUNCTION("""COMPUTED_VALUE"""),"Joaçaba")</f>
        <v>Joaçaba</v>
      </c>
      <c r="D156" s="24" t="str">
        <f>IFERROR(__xludf.DUMMYFUNCTION("""COMPUTED_VALUE"""),"Unoesc")</f>
        <v>Unoesc</v>
      </c>
      <c r="E156" s="25">
        <f>IFERROR(__xludf.DUMMYFUNCTION("""COMPUTED_VALUE"""),2018.0)</f>
        <v>2018</v>
      </c>
      <c r="F156" s="24" t="str">
        <f>IFERROR(__xludf.DUMMYFUNCTION("""COMPUTED_VALUE"""),"Direitos fundamentais, Dignidade, Trabalho")</f>
        <v>Direitos fundamentais, Dignidade, Trabalho</v>
      </c>
      <c r="G156" s="28" t="str">
        <f>IFERROR(__xludf.DUMMYFUNCTION("""COMPUTED_VALUE"""),"9788584222001")</f>
        <v>9788584222001</v>
      </c>
      <c r="H156" s="29" t="str">
        <f>IFERROR(__xludf.DUMMYFUNCTION("""COMPUTED_VALUE"""),"https://www.unoesc.edu.br/images/uploads/editora/Rodrigo_Schwarz_-_Direito_Fundamental_ao_Trabalho_Digno.pdf")</f>
        <v>https://www.unoesc.edu.br/images/uploads/editora/Rodrigo_Schwarz_-_Direito_Fundamental_ao_Trabalho_Digno.pdf</v>
      </c>
      <c r="I156" s="24" t="str">
        <f>IFERROR(__xludf.DUMMYFUNCTION("""COMPUTED_VALUE"""),"Ciências Sociais Aplicadas")</f>
        <v>Ciências Sociais Aplicadas</v>
      </c>
    </row>
    <row r="157">
      <c r="A157" s="24" t="str">
        <f>IFERROR(__xludf.DUMMYFUNCTION("""COMPUTED_VALUE"""),"Direito fundamental ao trabalho digno: Tomo III")</f>
        <v>Direito fundamental ao trabalho digno: Tomo III</v>
      </c>
      <c r="B157" s="24" t="str">
        <f>IFERROR(__xludf.DUMMYFUNCTION("""COMPUTED_VALUE"""),"Rodrigo Garcia Schwarz, Marcia Coser Petri, Nilson Feliciano de Araújo")</f>
        <v>Rodrigo Garcia Schwarz, Marcia Coser Petri, Nilson Feliciano de Araújo</v>
      </c>
      <c r="C157" s="24" t="str">
        <f>IFERROR(__xludf.DUMMYFUNCTION("""COMPUTED_VALUE"""),"Joaçaba")</f>
        <v>Joaçaba</v>
      </c>
      <c r="D157" s="24" t="str">
        <f>IFERROR(__xludf.DUMMYFUNCTION("""COMPUTED_VALUE"""),"Unoesc")</f>
        <v>Unoesc</v>
      </c>
      <c r="E157" s="25">
        <f>IFERROR(__xludf.DUMMYFUNCTION("""COMPUTED_VALUE"""),2017.0)</f>
        <v>2017</v>
      </c>
      <c r="F157" s="24" t="str">
        <f>IFERROR(__xludf.DUMMYFUNCTION("""COMPUTED_VALUE"""),"Direitos fundamentais, Dignidade, Trabalho")</f>
        <v>Direitos fundamentais, Dignidade, Trabalho</v>
      </c>
      <c r="G157" s="28" t="str">
        <f>IFERROR(__xludf.DUMMYFUNCTION("""COMPUTED_VALUE"""),"9788584221363")</f>
        <v>9788584221363</v>
      </c>
      <c r="H157" s="29" t="str">
        <f>IFERROR(__xludf.DUMMYFUNCTION("""COMPUTED_VALUE"""),"https://www.unoesc.edu.br/images/uploads/editora/direito_fundamental_ao_trabalho_digno-tomoii.pdf")</f>
        <v>https://www.unoesc.edu.br/images/uploads/editora/direito_fundamental_ao_trabalho_digno-tomoii.pdf</v>
      </c>
      <c r="I157" s="24" t="str">
        <f>IFERROR(__xludf.DUMMYFUNCTION("""COMPUTED_VALUE"""),"Ciências Sociais Aplicadas")</f>
        <v>Ciências Sociais Aplicadas</v>
      </c>
    </row>
    <row r="158">
      <c r="A158" s="24" t="str">
        <f>IFERROR(__xludf.DUMMYFUNCTION("""COMPUTED_VALUE"""),"Direito na fronteira e as fronteiras do direito")</f>
        <v>Direito na fronteira e as fronteiras do direito</v>
      </c>
      <c r="B158" s="24" t="str">
        <f>IFERROR(__xludf.DUMMYFUNCTION("""COMPUTED_VALUE"""),"Danielle Cevallos Soares, Evely Bocardi de Miranda Saldanha, Murilo Oliveira Souza ")</f>
        <v>Danielle Cevallos Soares, Evely Bocardi de Miranda Saldanha, Murilo Oliveira Souza </v>
      </c>
      <c r="C158" s="24" t="str">
        <f>IFERROR(__xludf.DUMMYFUNCTION("""COMPUTED_VALUE"""),"Cáceres")</f>
        <v>Cáceres</v>
      </c>
      <c r="D158" s="24" t="str">
        <f>IFERROR(__xludf.DUMMYFUNCTION("""COMPUTED_VALUE"""),"UNEMAT")</f>
        <v>UNEMAT</v>
      </c>
      <c r="E158" s="25">
        <f>IFERROR(__xludf.DUMMYFUNCTION("""COMPUTED_VALUE"""),2017.0)</f>
        <v>2017</v>
      </c>
      <c r="F158" s="24" t="str">
        <f>IFERROR(__xludf.DUMMYFUNCTION("""COMPUTED_VALUE"""),"Direito; Política; Fronteira")</f>
        <v>Direito; Política; Fronteira</v>
      </c>
      <c r="G158" s="28" t="str">
        <f>IFERROR(__xludf.DUMMYFUNCTION("""COMPUTED_VALUE"""),"9788579111693")</f>
        <v>9788579111693</v>
      </c>
      <c r="H158" s="29" t="str">
        <f>IFERROR(__xludf.DUMMYFUNCTION("""COMPUTED_VALUE"""),"http://portal.unemat.br/media/files/editora_livro_direito_na_fronteira-e-book.pdf")</f>
        <v>http://portal.unemat.br/media/files/editora_livro_direito_na_fronteira-e-book.pdf</v>
      </c>
      <c r="I158" s="24" t="str">
        <f>IFERROR(__xludf.DUMMYFUNCTION("""COMPUTED_VALUE"""),"Ciências Sociais Aplicadas")</f>
        <v>Ciências Sociais Aplicadas</v>
      </c>
    </row>
    <row r="159">
      <c r="A159" s="24" t="str">
        <f>IFERROR(__xludf.DUMMYFUNCTION("""COMPUTED_VALUE"""),"Direito Penal e Liberdade de Expressão no STF: uma análise dos casos Ellwanger e Marcha da Maconha à luz do poder punitivo ")</f>
        <v>Direito Penal e Liberdade de Expressão no STF: uma análise dos casos Ellwanger e Marcha da Maconha à luz do poder punitivo </v>
      </c>
      <c r="B159" s="24" t="str">
        <f>IFERROR(__xludf.DUMMYFUNCTION("""COMPUTED_VALUE"""),"LUIZ LABOISSIERE JR.")</f>
        <v>LUIZ LABOISSIERE JR.</v>
      </c>
      <c r="C159" s="24" t="str">
        <f>IFERROR(__xludf.DUMMYFUNCTION("""COMPUTED_VALUE"""),"Macapá")</f>
        <v>Macapá</v>
      </c>
      <c r="D159" s="24" t="str">
        <f>IFERROR(__xludf.DUMMYFUNCTION("""COMPUTED_VALUE"""),"UNIFAP")</f>
        <v>UNIFAP</v>
      </c>
      <c r="E159" s="25">
        <f>IFERROR(__xludf.DUMMYFUNCTION("""COMPUTED_VALUE"""),2018.0)</f>
        <v>2018</v>
      </c>
      <c r="F159" s="24" t="str">
        <f>IFERROR(__xludf.DUMMYFUNCTION("""COMPUTED_VALUE"""),"Direito Penal; Liberdade de Expressão; Supremo Tribunal Federal")</f>
        <v>Direito Penal; Liberdade de Expressão; Supremo Tribunal Federal</v>
      </c>
      <c r="G159" s="28" t="str">
        <f>IFERROR(__xludf.DUMMYFUNCTION("""COMPUTED_VALUE"""),"9788554760137")</f>
        <v>9788554760137</v>
      </c>
      <c r="H159" s="29" t="str">
        <f>IFERROR(__xludf.DUMMYFUNCTION("""COMPUTED_VALUE"""),"https://www2.unifap.br/editora/files/2014/12/Livro-Direito-Penal-e-Liberdade-de-Express%c3%a3o-no-STF-Luiz-Laboissiere-Jr.pdf")</f>
        <v>https://www2.unifap.br/editora/files/2014/12/Livro-Direito-Penal-e-Liberdade-de-Express%c3%a3o-no-STF-Luiz-Laboissiere-Jr.pdf</v>
      </c>
      <c r="I159" s="24" t="str">
        <f>IFERROR(__xludf.DUMMYFUNCTION("""COMPUTED_VALUE"""),"Ciências Sociais Aplicadas")</f>
        <v>Ciências Sociais Aplicadas</v>
      </c>
    </row>
    <row r="160">
      <c r="A160" s="24" t="str">
        <f>IFERROR(__xludf.DUMMYFUNCTION("""COMPUTED_VALUE"""),"Direito público: questões polêmicas ")</f>
        <v>Direito público: questões polêmicas </v>
      </c>
      <c r="B160" s="24" t="str">
        <f>IFERROR(__xludf.DUMMYFUNCTION("""COMPUTED_VALUE"""),"Carlos Valder do Nascimento")</f>
        <v>Carlos Valder do Nascimento</v>
      </c>
      <c r="C160" s="24" t="str">
        <f>IFERROR(__xludf.DUMMYFUNCTION("""COMPUTED_VALUE"""),"Ilhéus, BA")</f>
        <v>Ilhéus, BA</v>
      </c>
      <c r="D160" s="24" t="str">
        <f>IFERROR(__xludf.DUMMYFUNCTION("""COMPUTED_VALUE"""),"Editus")</f>
        <v>Editus</v>
      </c>
      <c r="E160" s="25">
        <f>IFERROR(__xludf.DUMMYFUNCTION("""COMPUTED_VALUE"""),2014.0)</f>
        <v>2014</v>
      </c>
      <c r="F160" s="24" t="str">
        <f>IFERROR(__xludf.DUMMYFUNCTION("""COMPUTED_VALUE"""),"Direito Público – Brasil – Miscelânea; Improbi-; dade administrativa; Responsabilidade administra-; tiva")</f>
        <v>Direito Público – Brasil – Miscelânea; Improbi-; dade administrativa; Responsabilidade administra-; tiva</v>
      </c>
      <c r="G160" s="28" t="str">
        <f>IFERROR(__xludf.DUMMYFUNCTION("""COMPUTED_VALUE"""),"9788574553290")</f>
        <v>9788574553290</v>
      </c>
      <c r="H160" s="29" t="str">
        <f>IFERROR(__xludf.DUMMYFUNCTION("""COMPUTED_VALUE"""),"http://www.uesc.br/editora/livrosdigitais2017/direito_publico_questoes_polemicas.pdf")</f>
        <v>http://www.uesc.br/editora/livrosdigitais2017/direito_publico_questoes_polemicas.pdf</v>
      </c>
      <c r="I160" s="24" t="str">
        <f>IFERROR(__xludf.DUMMYFUNCTION("""COMPUTED_VALUE"""),"Ciências Sociais Aplicadas")</f>
        <v>Ciências Sociais Aplicadas</v>
      </c>
    </row>
    <row r="161">
      <c r="A161" s="24" t="str">
        <f>IFERROR(__xludf.DUMMYFUNCTION("""COMPUTED_VALUE"""),"Direito tributário I: imunidade dos correios e penhora on-line ")</f>
        <v>Direito tributário I: imunidade dos correios e penhora on-line </v>
      </c>
      <c r="B161" s="24" t="str">
        <f>IFERROR(__xludf.DUMMYFUNCTION("""COMPUTED_VALUE"""),"Carlos Valder do Nascimento")</f>
        <v>Carlos Valder do Nascimento</v>
      </c>
      <c r="C161" s="24" t="str">
        <f>IFERROR(__xludf.DUMMYFUNCTION("""COMPUTED_VALUE"""),"Ilhéus, BA")</f>
        <v>Ilhéus, BA</v>
      </c>
      <c r="D161" s="24" t="str">
        <f>IFERROR(__xludf.DUMMYFUNCTION("""COMPUTED_VALUE"""),"Editus")</f>
        <v>Editus</v>
      </c>
      <c r="E161" s="25">
        <f>IFERROR(__xludf.DUMMYFUNCTION("""COMPUTED_VALUE"""),2015.0)</f>
        <v>2015</v>
      </c>
      <c r="F161" s="24" t="str">
        <f>IFERROR(__xludf.DUMMYFUNCTION("""COMPUTED_VALUE"""),"Direito tributário; Penhora (Direito); Confisco de bens; Imunidade tributária")</f>
        <v>Direito tributário; Penhora (Direito); Confisco de bens; Imunidade tributária</v>
      </c>
      <c r="G161" s="28" t="str">
        <f>IFERROR(__xludf.DUMMYFUNCTION("""COMPUTED_VALUE"""),"9788574553863")</f>
        <v>9788574553863</v>
      </c>
      <c r="H161" s="29" t="str">
        <f>IFERROR(__xludf.DUMMYFUNCTION("""COMPUTED_VALUE"""),"http://www.uesc.br/editora/livrosdigitais2018/direito_tributario_1.pdf")</f>
        <v>http://www.uesc.br/editora/livrosdigitais2018/direito_tributario_1.pdf</v>
      </c>
      <c r="I161" s="24" t="str">
        <f>IFERROR(__xludf.DUMMYFUNCTION("""COMPUTED_VALUE"""),"Ciências Sociais Aplicadas")</f>
        <v>Ciências Sociais Aplicadas</v>
      </c>
    </row>
    <row r="162">
      <c r="A162" s="24" t="str">
        <f>IFERROR(__xludf.DUMMYFUNCTION("""COMPUTED_VALUE"""),"Direito tributário II: terceiro setor, papel imune, contribuição para a saúde e crédito previdenciário ")</f>
        <v>Direito tributário II: terceiro setor, papel imune, contribuição para a saúde e crédito previdenciário </v>
      </c>
      <c r="B162" s="24" t="str">
        <f>IFERROR(__xludf.DUMMYFUNCTION("""COMPUTED_VALUE"""),"Carlos Valder do Nascimento")</f>
        <v>Carlos Valder do Nascimento</v>
      </c>
      <c r="C162" s="24" t="str">
        <f>IFERROR(__xludf.DUMMYFUNCTION("""COMPUTED_VALUE"""),"Ilhéus, BA")</f>
        <v>Ilhéus, BA</v>
      </c>
      <c r="D162" s="24" t="str">
        <f>IFERROR(__xludf.DUMMYFUNCTION("""COMPUTED_VALUE"""),"Editus")</f>
        <v>Editus</v>
      </c>
      <c r="E162" s="25">
        <f>IFERROR(__xludf.DUMMYFUNCTION("""COMPUTED_VALUE"""),2015.0)</f>
        <v>2015</v>
      </c>
      <c r="F162" s="24" t="str">
        <f>IFERROR(__xludf.DUMMYFUNCTION("""COMPUTED_VALUE"""),"Direito tributário; Associações sem fi ns lucrativos; Imunidade tributária")</f>
        <v>Direito tributário; Associações sem fi ns lucrativos; Imunidade tributária</v>
      </c>
      <c r="G162" s="28" t="str">
        <f>IFERROR(__xludf.DUMMYFUNCTION("""COMPUTED_VALUE"""),"9788574553870")</f>
        <v>9788574553870</v>
      </c>
      <c r="H162" s="29" t="str">
        <f>IFERROR(__xludf.DUMMYFUNCTION("""COMPUTED_VALUE"""),"http://www.uesc.br/editora/livrosdigitais2018/direito_tributario_2.pdf")</f>
        <v>http://www.uesc.br/editora/livrosdigitais2018/direito_tributario_2.pdf</v>
      </c>
      <c r="I162" s="24" t="str">
        <f>IFERROR(__xludf.DUMMYFUNCTION("""COMPUTED_VALUE"""),"Ciências Sociais Aplicadas")</f>
        <v>Ciências Sociais Aplicadas</v>
      </c>
    </row>
    <row r="163">
      <c r="A163" s="24" t="str">
        <f>IFERROR(__xludf.DUMMYFUNCTION("""COMPUTED_VALUE"""),"Direito tributário III: autonomia, evolução histórica e relações com outras disciplinas ")</f>
        <v>Direito tributário III: autonomia, evolução histórica e relações com outras disciplinas </v>
      </c>
      <c r="B163" s="24" t="str">
        <f>IFERROR(__xludf.DUMMYFUNCTION("""COMPUTED_VALUE"""),"Carlos Valder do Nascimento")</f>
        <v>Carlos Valder do Nascimento</v>
      </c>
      <c r="C163" s="24" t="str">
        <f>IFERROR(__xludf.DUMMYFUNCTION("""COMPUTED_VALUE"""),"Ilhéus, BA")</f>
        <v>Ilhéus, BA</v>
      </c>
      <c r="D163" s="24" t="str">
        <f>IFERROR(__xludf.DUMMYFUNCTION("""COMPUTED_VALUE"""),"Editus")</f>
        <v>Editus</v>
      </c>
      <c r="E163" s="25">
        <f>IFERROR(__xludf.DUMMYFUNCTION("""COMPUTED_VALUE"""),2016.0)</f>
        <v>2016</v>
      </c>
      <c r="F163" s="24" t="str">
        <f>IFERROR(__xludf.DUMMYFUNCTION("""COMPUTED_VALUE"""),"Direito tributário – Brasil – História")</f>
        <v>Direito tributário – Brasil – História</v>
      </c>
      <c r="G163" s="28" t="str">
        <f>IFERROR(__xludf.DUMMYFUNCTION("""COMPUTED_VALUE"""),"9788574553887")</f>
        <v>9788574553887</v>
      </c>
      <c r="H163" s="29" t="str">
        <f>IFERROR(__xludf.DUMMYFUNCTION("""COMPUTED_VALUE"""),"http://www.uesc.br/editora/livrosdigitais2018/direito_tributario_3.pdf")</f>
        <v>http://www.uesc.br/editora/livrosdigitais2018/direito_tributario_3.pdf</v>
      </c>
      <c r="I163" s="24" t="str">
        <f>IFERROR(__xludf.DUMMYFUNCTION("""COMPUTED_VALUE"""),"Ciências Sociais Aplicadas")</f>
        <v>Ciências Sociais Aplicadas</v>
      </c>
    </row>
    <row r="164">
      <c r="A164" s="24" t="str">
        <f>IFERROR(__xludf.DUMMYFUNCTION("""COMPUTED_VALUE"""),"Direito tributário IV: Interpretação, obrigação e crédito tributário")</f>
        <v>Direito tributário IV: Interpretação, obrigação e crédito tributário</v>
      </c>
      <c r="B164" s="24" t="str">
        <f>IFERROR(__xludf.DUMMYFUNCTION("""COMPUTED_VALUE"""),"Carlos Valder do Nascimento")</f>
        <v>Carlos Valder do Nascimento</v>
      </c>
      <c r="C164" s="24" t="str">
        <f>IFERROR(__xludf.DUMMYFUNCTION("""COMPUTED_VALUE"""),"Ilhéus, BA")</f>
        <v>Ilhéus, BA</v>
      </c>
      <c r="D164" s="24" t="str">
        <f>IFERROR(__xludf.DUMMYFUNCTION("""COMPUTED_VALUE"""),"Editus")</f>
        <v>Editus</v>
      </c>
      <c r="E164" s="25">
        <f>IFERROR(__xludf.DUMMYFUNCTION("""COMPUTED_VALUE"""),2016.0)</f>
        <v>2016</v>
      </c>
      <c r="F164" s="24" t="str">
        <f>IFERROR(__xludf.DUMMYFUNCTION("""COMPUTED_VALUE"""),"Direito tributário – Brasil – História")</f>
        <v>Direito tributário – Brasil – História</v>
      </c>
      <c r="G164" s="28" t="str">
        <f>IFERROR(__xludf.DUMMYFUNCTION("""COMPUTED_VALUE"""),"9788574553894")</f>
        <v>9788574553894</v>
      </c>
      <c r="H164" s="29" t="str">
        <f>IFERROR(__xludf.DUMMYFUNCTION("""COMPUTED_VALUE"""),"http://www.uesc.br/editora/livrosdigitais2018/direito_tributario_4.pdf")</f>
        <v>http://www.uesc.br/editora/livrosdigitais2018/direito_tributario_4.pdf</v>
      </c>
      <c r="I164" s="24" t="str">
        <f>IFERROR(__xludf.DUMMYFUNCTION("""COMPUTED_VALUE"""),"Ciências Sociais Aplicadas")</f>
        <v>Ciências Sociais Aplicadas</v>
      </c>
    </row>
    <row r="165">
      <c r="A165" s="24" t="str">
        <f>IFERROR(__xludf.DUMMYFUNCTION("""COMPUTED_VALUE"""),"Direito tributário V: garantias do crédito tributário e administração tributária")</f>
        <v>Direito tributário V: garantias do crédito tributário e administração tributária</v>
      </c>
      <c r="B165" s="24" t="str">
        <f>IFERROR(__xludf.DUMMYFUNCTION("""COMPUTED_VALUE"""),"Carlos Valder do Nascimento")</f>
        <v>Carlos Valder do Nascimento</v>
      </c>
      <c r="C165" s="24" t="str">
        <f>IFERROR(__xludf.DUMMYFUNCTION("""COMPUTED_VALUE"""),"Ilhéus, BA")</f>
        <v>Ilhéus, BA</v>
      </c>
      <c r="D165" s="24" t="str">
        <f>IFERROR(__xludf.DUMMYFUNCTION("""COMPUTED_VALUE"""),"Editus")</f>
        <v>Editus</v>
      </c>
      <c r="E165" s="25">
        <f>IFERROR(__xludf.DUMMYFUNCTION("""COMPUTED_VALUE"""),2016.0)</f>
        <v>2016</v>
      </c>
      <c r="F165" s="24" t="str">
        <f>IFERROR(__xludf.DUMMYFUNCTION("""COMPUTED_VALUE"""),"Direito tributário – Brasil; Crédito tributário – Brasil; Serviço Público – Brasil; Garantia (Direito) – Brasil; Dívida pública")</f>
        <v>Direito tributário – Brasil; Crédito tributário – Brasil; Serviço Público – Brasil; Garantia (Direito) – Brasil; Dívida pública</v>
      </c>
      <c r="G165" s="28" t="str">
        <f>IFERROR(__xludf.DUMMYFUNCTION("""COMPUTED_VALUE"""),"9788574553900")</f>
        <v>9788574553900</v>
      </c>
      <c r="H165" s="29" t="str">
        <f>IFERROR(__xludf.DUMMYFUNCTION("""COMPUTED_VALUE"""),"http://www.uesc.br/editora/livrosdigitais2018/direito_tributario_5.pdf")</f>
        <v>http://www.uesc.br/editora/livrosdigitais2018/direito_tributario_5.pdf</v>
      </c>
      <c r="I165" s="24" t="str">
        <f>IFERROR(__xludf.DUMMYFUNCTION("""COMPUTED_VALUE"""),"Ciências Sociais Aplicadas")</f>
        <v>Ciências Sociais Aplicadas</v>
      </c>
    </row>
    <row r="166">
      <c r="A166" s="24" t="str">
        <f>IFERROR(__xludf.DUMMYFUNCTION("""COMPUTED_VALUE"""),"Direito, mercantilização e justiça")</f>
        <v>Direito, mercantilização e justiça</v>
      </c>
      <c r="B166" s="24" t="str">
        <f>IFERROR(__xludf.DUMMYFUNCTION("""COMPUTED_VALUE"""),"Salgado, Eneida Desirée; Gabardo, Emerson")</f>
        <v>Salgado, Eneida Desirée; Gabardo, Emerson</v>
      </c>
      <c r="C166" s="24" t="str">
        <f>IFERROR(__xludf.DUMMYFUNCTION("""COMPUTED_VALUE"""),"Curitiba")</f>
        <v>Curitiba</v>
      </c>
      <c r="D166" s="24" t="str">
        <f>IFERROR(__xludf.DUMMYFUNCTION("""COMPUTED_VALUE"""),"UFPR")</f>
        <v>UFPR</v>
      </c>
      <c r="E166" s="25">
        <f>IFERROR(__xludf.DUMMYFUNCTION("""COMPUTED_VALUE"""),2016.0)</f>
        <v>2016</v>
      </c>
      <c r="F166" s="24" t="str">
        <f>IFERROR(__xludf.DUMMYFUNCTION("""COMPUTED_VALUE"""),"Comercialização")</f>
        <v>Comercialização</v>
      </c>
      <c r="G166" s="26"/>
      <c r="H166" s="29" t="str">
        <f>IFERROR(__xludf.DUMMYFUNCTION("""COMPUTED_VALUE"""),"https://hdl.handle.net/1884/63932")</f>
        <v>https://hdl.handle.net/1884/63932</v>
      </c>
      <c r="I166" s="24" t="str">
        <f>IFERROR(__xludf.DUMMYFUNCTION("""COMPUTED_VALUE"""),"Ciências Sociais Aplicadas")</f>
        <v>Ciências Sociais Aplicadas</v>
      </c>
    </row>
    <row r="167">
      <c r="A167" s="24" t="str">
        <f>IFERROR(__xludf.DUMMYFUNCTION("""COMPUTED_VALUE"""),"Direitos de propriedade intelectual e inovação: uma análise econômica além das evidências")</f>
        <v>Direitos de propriedade intelectual e inovação: uma análise econômica além das evidências</v>
      </c>
      <c r="B167" s="24" t="str">
        <f>IFERROR(__xludf.DUMMYFUNCTION("""COMPUTED_VALUE"""),"Alain Herscovici (org.)")</f>
        <v>Alain Herscovici (org.)</v>
      </c>
      <c r="C167" s="24" t="str">
        <f>IFERROR(__xludf.DUMMYFUNCTION("""COMPUTED_VALUE"""),"Vitória")</f>
        <v>Vitória</v>
      </c>
      <c r="D167" s="24" t="str">
        <f>IFERROR(__xludf.DUMMYFUNCTION("""COMPUTED_VALUE"""),"EDUFES")</f>
        <v>EDUFES</v>
      </c>
      <c r="E167" s="25">
        <f>IFERROR(__xludf.DUMMYFUNCTION("""COMPUTED_VALUE"""),2015.0)</f>
        <v>2015</v>
      </c>
      <c r="F167" s="24" t="str">
        <f>IFERROR(__xludf.DUMMYFUNCTION("""COMPUTED_VALUE"""),"Propriedade intelectual; Inovações tecnológicas; Direito")</f>
        <v>Propriedade intelectual; Inovações tecnológicas; Direito</v>
      </c>
      <c r="G167" s="28" t="str">
        <f>IFERROR(__xludf.DUMMYFUNCTION("""COMPUTED_VALUE"""),"9788577722846")</f>
        <v>9788577722846</v>
      </c>
      <c r="H167" s="29" t="str">
        <f>IFERROR(__xludf.DUMMYFUNCTION("""COMPUTED_VALUE"""),"http://repositorio.ufes.br/handle/10/6776")</f>
        <v>http://repositorio.ufes.br/handle/10/6776</v>
      </c>
      <c r="I167" s="24" t="str">
        <f>IFERROR(__xludf.DUMMYFUNCTION("""COMPUTED_VALUE"""),"Ciências Sociais Aplicadas")</f>
        <v>Ciências Sociais Aplicadas</v>
      </c>
    </row>
    <row r="168">
      <c r="A168" s="24" t="str">
        <f>IFERROR(__xludf.DUMMYFUNCTION("""COMPUTED_VALUE"""),"Direitos Difusos e Coletivos: vulnerabilidades e Proteção Jurídica")</f>
        <v>Direitos Difusos e Coletivos: vulnerabilidades e Proteção Jurídica</v>
      </c>
      <c r="B168" s="24" t="str">
        <f>IFERROR(__xludf.DUMMYFUNCTION("""COMPUTED_VALUE"""),"Glauce Suely Jácome da Silva; Rozeane Albuquerque Lima (org.)")</f>
        <v>Glauce Suely Jácome da Silva; Rozeane Albuquerque Lima (org.)</v>
      </c>
      <c r="C168" s="24" t="str">
        <f>IFERROR(__xludf.DUMMYFUNCTION("""COMPUTED_VALUE"""),"Campina Grande")</f>
        <v>Campina Grande</v>
      </c>
      <c r="D168" s="24" t="str">
        <f>IFERROR(__xludf.DUMMYFUNCTION("""COMPUTED_VALUE"""),"EDUEPB")</f>
        <v>EDUEPB</v>
      </c>
      <c r="E168" s="25">
        <f>IFERROR(__xludf.DUMMYFUNCTION("""COMPUTED_VALUE"""),2020.0)</f>
        <v>2020</v>
      </c>
      <c r="F168" s="24" t="str">
        <f>IFERROR(__xludf.DUMMYFUNCTION("""COMPUTED_VALUE"""),"Direito Constitucional e administrativo. Direitos humanos. Políticas públicas e multiculturalismo. Direito trabalhista brasileiro - Reforma. Ideologia ultraindividualista. Interculturalismo. Direito do consumidor.; Direito ambiental - Sociobiodiversidade")</f>
        <v>Direito Constitucional e administrativo. Direitos humanos. Políticas públicas e multiculturalismo. Direito trabalhista brasileiro - Reforma. Ideologia ultraindividualista. Interculturalismo. Direito do consumidor.; Direito ambiental - Sociobiodiversidade</v>
      </c>
      <c r="G168" s="28" t="str">
        <f>IFERROR(__xludf.DUMMYFUNCTION("""COMPUTED_VALUE"""),"9788578795214")</f>
        <v>9788578795214</v>
      </c>
      <c r="H168" s="29" t="str">
        <f>IFERROR(__xludf.DUMMYFUNCTION("""COMPUTED_VALUE"""),"http://eduepb.uepb.edu.br/download/direitos-difusos/?wpdmdl=1032&amp;#038;masterkey=5ec425bd261a1")</f>
        <v>http://eduepb.uepb.edu.br/download/direitos-difusos/?wpdmdl=1032&amp;#038;masterkey=5ec425bd261a1</v>
      </c>
      <c r="I168" s="24" t="str">
        <f>IFERROR(__xludf.DUMMYFUNCTION("""COMPUTED_VALUE"""),"Ciências Sociais Aplicadas")</f>
        <v>Ciências Sociais Aplicadas</v>
      </c>
    </row>
    <row r="169">
      <c r="A169" s="24" t="str">
        <f>IFERROR(__xludf.DUMMYFUNCTION("""COMPUTED_VALUE"""),"Direitos fundamentais civis")</f>
        <v>Direitos fundamentais civis</v>
      </c>
      <c r="B169" s="24" t="str">
        <f>IFERROR(__xludf.DUMMYFUNCTION("""COMPUTED_VALUE"""),"Janaína Reckziegel, Marco Aurélio Rodrigues da Cunha, Cruz e Vinicius Almada Mozetic")</f>
        <v>Janaína Reckziegel, Marco Aurélio Rodrigues da Cunha, Cruz e Vinicius Almada Mozetic</v>
      </c>
      <c r="C169" s="24" t="str">
        <f>IFERROR(__xludf.DUMMYFUNCTION("""COMPUTED_VALUE"""),"Joaçaba")</f>
        <v>Joaçaba</v>
      </c>
      <c r="D169" s="24" t="str">
        <f>IFERROR(__xludf.DUMMYFUNCTION("""COMPUTED_VALUE"""),"Unoesc")</f>
        <v>Unoesc</v>
      </c>
      <c r="E169" s="25">
        <f>IFERROR(__xludf.DUMMYFUNCTION("""COMPUTED_VALUE"""),2018.0)</f>
        <v>2018</v>
      </c>
      <c r="F169" s="24" t="str">
        <f>IFERROR(__xludf.DUMMYFUNCTION("""COMPUTED_VALUE"""),"Direitos fundamentais, Direito - Filosofia,; Dogmática jurídica")</f>
        <v>Direitos fundamentais, Direito - Filosofia,; Dogmática jurídica</v>
      </c>
      <c r="G169" s="28" t="str">
        <f>IFERROR(__xludf.DUMMYFUNCTION("""COMPUTED_VALUE"""),"9788584221769")</f>
        <v>9788584221769</v>
      </c>
      <c r="H169" s="29" t="str">
        <f>IFERROR(__xludf.DUMMYFUNCTION("""COMPUTED_VALUE"""),"https://www.unoesc.edu.br/images/uploads/editora/Livro_2_Spring_2017.pdf")</f>
        <v>https://www.unoesc.edu.br/images/uploads/editora/Livro_2_Spring_2017.pdf</v>
      </c>
      <c r="I169" s="24" t="str">
        <f>IFERROR(__xludf.DUMMYFUNCTION("""COMPUTED_VALUE"""),"Ciências Sociais Aplicadas")</f>
        <v>Ciências Sociais Aplicadas</v>
      </c>
    </row>
    <row r="170">
      <c r="A170" s="24" t="str">
        <f>IFERROR(__xludf.DUMMYFUNCTION("""COMPUTED_VALUE"""),"Direitos fundamentais e políticas públicas no Brasil: conexões entre segurança social, trabalho decente e desenvolvimento")</f>
        <v>Direitos fundamentais e políticas públicas no Brasil: conexões entre segurança social, trabalho decente e desenvolvimento</v>
      </c>
      <c r="B170" s="24" t="str">
        <f>IFERROR(__xludf.DUMMYFUNCTION("""COMPUTED_VALUE"""),"Carlos L Strapazzon; Regina Stela Corrêa Vieira (org.)")</f>
        <v>Carlos L Strapazzon; Regina Stela Corrêa Vieira (org.)</v>
      </c>
      <c r="C170" s="24" t="str">
        <f>IFERROR(__xludf.DUMMYFUNCTION("""COMPUTED_VALUE"""),"Joaçaba")</f>
        <v>Joaçaba</v>
      </c>
      <c r="D170" s="24" t="str">
        <f>IFERROR(__xludf.DUMMYFUNCTION("""COMPUTED_VALUE"""),"Unoesc")</f>
        <v>Unoesc</v>
      </c>
      <c r="E170" s="25">
        <f>IFERROR(__xludf.DUMMYFUNCTION("""COMPUTED_VALUE"""),2020.0)</f>
        <v>2020</v>
      </c>
      <c r="F170" s="24" t="str">
        <f>IFERROR(__xludf.DUMMYFUNCTION("""COMPUTED_VALUE"""),"Direito do trabalho Direitos fundamentais; Seguridade social")</f>
        <v>Direito do trabalho Direitos fundamentais; Seguridade social</v>
      </c>
      <c r="G170" s="28" t="str">
        <f>IFERROR(__xludf.DUMMYFUNCTION("""COMPUTED_VALUE"""),"9786586158243")</f>
        <v>9786586158243</v>
      </c>
      <c r="H170" s="29" t="str">
        <f>IFERROR(__xludf.DUMMYFUNCTION("""COMPUTED_VALUE"""),"https://www.unoesc.edu.br/images/uploads/editora/Miolo_-_Direitos_Fundamentais.pdf")</f>
        <v>https://www.unoesc.edu.br/images/uploads/editora/Miolo_-_Direitos_Fundamentais.pdf</v>
      </c>
      <c r="I170" s="24" t="str">
        <f>IFERROR(__xludf.DUMMYFUNCTION("""COMPUTED_VALUE"""),"Ciências Sociais Aplicadas")</f>
        <v>Ciências Sociais Aplicadas</v>
      </c>
    </row>
    <row r="171">
      <c r="A171" s="24" t="str">
        <f>IFERROR(__xludf.DUMMYFUNCTION("""COMPUTED_VALUE"""),"Direitos Fundamentais Sociais – Unoesc International Legal Seminar: a filosofia do direito e a dogmática dos direitos fundamentais: rechtsphilosophie und grundechtdogmatik – Robert Alexy’s System")</f>
        <v>Direitos Fundamentais Sociais – Unoesc International Legal Seminar: a filosofia do direito e a dogmática dos direitos fundamentais: rechtsphilosophie und grundechtdogmatik – Robert Alexy’s System</v>
      </c>
      <c r="B171" s="24" t="str">
        <f>IFERROR(__xludf.DUMMYFUNCTION("""COMPUTED_VALUE"""),"Tereza Aparecida Asta Gemignani, Thaís Janaina Wenczenovicz")</f>
        <v>Tereza Aparecida Asta Gemignani, Thaís Janaina Wenczenovicz</v>
      </c>
      <c r="C171" s="24" t="str">
        <f>IFERROR(__xludf.DUMMYFUNCTION("""COMPUTED_VALUE"""),"Joaçaba")</f>
        <v>Joaçaba</v>
      </c>
      <c r="D171" s="24" t="str">
        <f>IFERROR(__xludf.DUMMYFUNCTION("""COMPUTED_VALUE"""),"Unoesc")</f>
        <v>Unoesc</v>
      </c>
      <c r="E171" s="25">
        <f>IFERROR(__xludf.DUMMYFUNCTION("""COMPUTED_VALUE"""),2018.0)</f>
        <v>2018</v>
      </c>
      <c r="F171" s="24" t="str">
        <f>IFERROR(__xludf.DUMMYFUNCTION("""COMPUTED_VALUE"""),"Direitos fundamentais, Direito - Filosofia, Dogmática; jurídica")</f>
        <v>Direitos fundamentais, Direito - Filosofia, Dogmática; jurídica</v>
      </c>
      <c r="G171" s="28" t="str">
        <f>IFERROR(__xludf.DUMMYFUNCTION("""COMPUTED_VALUE"""),"9788584221691")</f>
        <v>9788584221691</v>
      </c>
      <c r="H171" s="29" t="str">
        <f>IFERROR(__xludf.DUMMYFUNCTION("""COMPUTED_VALUE"""),"https://www.unoesc.edu.br/images/uploads/editora/Ebook_Spring_2017.pdf")</f>
        <v>https://www.unoesc.edu.br/images/uploads/editora/Ebook_Spring_2017.pdf</v>
      </c>
      <c r="I171" s="24" t="str">
        <f>IFERROR(__xludf.DUMMYFUNCTION("""COMPUTED_VALUE"""),"Ciências Sociais Aplicadas")</f>
        <v>Ciências Sociais Aplicadas</v>
      </c>
    </row>
    <row r="172">
      <c r="A172" s="24" t="str">
        <f>IFERROR(__xludf.DUMMYFUNCTION("""COMPUTED_VALUE"""),"Direitos fundamentais, trabalho digno e igualdade: debates acadêmicos")</f>
        <v>Direitos fundamentais, trabalho digno e igualdade: debates acadêmicos</v>
      </c>
      <c r="B172" s="24" t="str">
        <f>IFERROR(__xludf.DUMMYFUNCTION("""COMPUTED_VALUE"""),"Regina Stela Corrêa Vieira")</f>
        <v>Regina Stela Corrêa Vieira</v>
      </c>
      <c r="C172" s="24" t="str">
        <f>IFERROR(__xludf.DUMMYFUNCTION("""COMPUTED_VALUE"""),"Joaçaba")</f>
        <v>Joaçaba</v>
      </c>
      <c r="D172" s="24" t="str">
        <f>IFERROR(__xludf.DUMMYFUNCTION("""COMPUTED_VALUE"""),"Unoesc")</f>
        <v>Unoesc</v>
      </c>
      <c r="E172" s="25">
        <f>IFERROR(__xludf.DUMMYFUNCTION("""COMPUTED_VALUE"""),2019.0)</f>
        <v>2019</v>
      </c>
      <c r="F172" s="24" t="str">
        <f>IFERROR(__xludf.DUMMYFUNCTION("""COMPUTED_VALUE"""),"Direitos fundamentais, Direitos humanos,; Dignidade")</f>
        <v>Direitos fundamentais, Direitos humanos,; Dignidade</v>
      </c>
      <c r="G172" s="28" t="str">
        <f>IFERROR(__xludf.DUMMYFUNCTION("""COMPUTED_VALUE"""),"9788584222278")</f>
        <v>9788584222278</v>
      </c>
      <c r="H172" s="29" t="str">
        <f>IFERROR(__xludf.DUMMYFUNCTION("""COMPUTED_VALUE"""),"https://www.unoesc.edu.br/images/uploads/editora/Miolo_Direitos_fundamentais2.pdf")</f>
        <v>https://www.unoesc.edu.br/images/uploads/editora/Miolo_Direitos_fundamentais2.pdf</v>
      </c>
      <c r="I172" s="24" t="str">
        <f>IFERROR(__xludf.DUMMYFUNCTION("""COMPUTED_VALUE"""),"Ciências Sociais Aplicadas")</f>
        <v>Ciências Sociais Aplicadas</v>
      </c>
    </row>
    <row r="173">
      <c r="A173" s="24" t="str">
        <f>IFERROR(__xludf.DUMMYFUNCTION("""COMPUTED_VALUE"""),"Direitos fundamentais: estudos jurídico-dogmáticos")</f>
        <v>Direitos fundamentais: estudos jurídico-dogmáticos</v>
      </c>
      <c r="B173" s="24" t="str">
        <f>IFERROR(__xludf.DUMMYFUNCTION("""COMPUTED_VALUE"""),"Wilson Steinmet")</f>
        <v>Wilson Steinmet</v>
      </c>
      <c r="C173" s="24" t="str">
        <f>IFERROR(__xludf.DUMMYFUNCTION("""COMPUTED_VALUE"""),"Joaçaba")</f>
        <v>Joaçaba</v>
      </c>
      <c r="D173" s="24" t="str">
        <f>IFERROR(__xludf.DUMMYFUNCTION("""COMPUTED_VALUE"""),"Unoesc")</f>
        <v>Unoesc</v>
      </c>
      <c r="E173" s="25">
        <f>IFERROR(__xludf.DUMMYFUNCTION("""COMPUTED_VALUE"""),2017.0)</f>
        <v>2017</v>
      </c>
      <c r="F173" s="24" t="str">
        <f>IFERROR(__xludf.DUMMYFUNCTION("""COMPUTED_VALUE"""),"Direitos fundamentais, Dogmática jurídica")</f>
        <v>Direitos fundamentais, Dogmática jurídica</v>
      </c>
      <c r="G173" s="28" t="str">
        <f>IFERROR(__xludf.DUMMYFUNCTION("""COMPUTED_VALUE"""),"9788584221547")</f>
        <v>9788584221547</v>
      </c>
      <c r="H173" s="29" t="str">
        <f>IFERROR(__xludf.DUMMYFUNCTION("""COMPUTED_VALUE"""),"https://www.unoesc.edu.br/images/uploads/editora/Direitos_fundamentais_estudos_jur%c3%addicos_dogm%c3%a1ticos.pdf")</f>
        <v>https://www.unoesc.edu.br/images/uploads/editora/Direitos_fundamentais_estudos_jur%c3%addicos_dogm%c3%a1ticos.pdf</v>
      </c>
      <c r="I173" s="24" t="str">
        <f>IFERROR(__xludf.DUMMYFUNCTION("""COMPUTED_VALUE"""),"Ciências Sociais Aplicadas")</f>
        <v>Ciências Sociais Aplicadas</v>
      </c>
    </row>
    <row r="174">
      <c r="A174" s="24" t="str">
        <f>IFERROR(__xludf.DUMMYFUNCTION("""COMPUTED_VALUE"""),"Direitos Humanos das Mulheres e das Pessoas LGBTQI: Inclusão da Perspectiva da Diversidade Sexual e de Gênero na Educação e na Formação Docente")</f>
        <v>Direitos Humanos das Mulheres e das Pessoas LGBTQI: Inclusão da Perspectiva da Diversidade Sexual e de Gênero na Educação e na Formação Docente</v>
      </c>
      <c r="B174" s="24" t="str">
        <f>IFERROR(__xludf.DUMMYFUNCTION("""COMPUTED_VALUE"""),"Maria Eulina Pessoa de Carvalho; Glória Rabay; Tania Suely Antonelli Marcelino Brabo; Jeane Félix; Alfrancio Ferreira Dias")</f>
        <v>Maria Eulina Pessoa de Carvalho; Glória Rabay; Tania Suely Antonelli Marcelino Brabo; Jeane Félix; Alfrancio Ferreira Dias</v>
      </c>
      <c r="C174" s="24" t="str">
        <f>IFERROR(__xludf.DUMMYFUNCTION("""COMPUTED_VALUE"""),"João Pessoa")</f>
        <v>João Pessoa</v>
      </c>
      <c r="D174" s="24" t="str">
        <f>IFERROR(__xludf.DUMMYFUNCTION("""COMPUTED_VALUE"""),"Editora da UFPB")</f>
        <v>Editora da UFPB</v>
      </c>
      <c r="E174" s="25">
        <f>IFERROR(__xludf.DUMMYFUNCTION("""COMPUTED_VALUE"""),2017.0)</f>
        <v>2017</v>
      </c>
      <c r="F174" s="24" t="str">
        <f>IFERROR(__xludf.DUMMYFUNCTION("""COMPUTED_VALUE"""),"Direitos humanos - mulheres. Direitos humanos - LGBTQI")</f>
        <v>Direitos humanos - mulheres. Direitos humanos - LGBTQI</v>
      </c>
      <c r="G174" s="28" t="str">
        <f>IFERROR(__xludf.DUMMYFUNCTION("""COMPUTED_VALUE"""),"9788523711825")</f>
        <v>9788523711825</v>
      </c>
      <c r="H174" s="29" t="str">
        <f>IFERROR(__xludf.DUMMYFUNCTION("""COMPUTED_VALUE"""),"http://www.editora.ufpb.br/sistema/press5/index.php/UFPB/catalog/book/149")</f>
        <v>http://www.editora.ufpb.br/sistema/press5/index.php/UFPB/catalog/book/149</v>
      </c>
      <c r="I174" s="24" t="str">
        <f>IFERROR(__xludf.DUMMYFUNCTION("""COMPUTED_VALUE"""),"Ciências Sociais Aplicadas")</f>
        <v>Ciências Sociais Aplicadas</v>
      </c>
    </row>
    <row r="175">
      <c r="A175" s="24" t="str">
        <f>IFERROR(__xludf.DUMMYFUNCTION("""COMPUTED_VALUE"""),"Direitos humanos e política social (disponível temporariamente)")</f>
        <v>Direitos humanos e política social (disponível temporariamente)</v>
      </c>
      <c r="B175" s="24" t="str">
        <f>IFERROR(__xludf.DUMMYFUNCTION("""COMPUTED_VALUE"""),"Luziana Ramalho Ribeiro, Regina Coelli Gomes Nascimento, Paulo Vieira de Moura (organização)")</f>
        <v>Luziana Ramalho Ribeiro, Regina Coelli Gomes Nascimento, Paulo Vieira de Moura (organização)</v>
      </c>
      <c r="C175" s="24" t="str">
        <f>IFERROR(__xludf.DUMMYFUNCTION("""COMPUTED_VALUE"""),"João Pessoa")</f>
        <v>João Pessoa</v>
      </c>
      <c r="D175" s="24" t="str">
        <f>IFERROR(__xludf.DUMMYFUNCTION("""COMPUTED_VALUE"""),"Editora da UFPB")</f>
        <v>Editora da UFPB</v>
      </c>
      <c r="E175" s="25">
        <f>IFERROR(__xludf.DUMMYFUNCTION("""COMPUTED_VALUE"""),2019.0)</f>
        <v>2019</v>
      </c>
      <c r="F175" s="24" t="str">
        <f>IFERROR(__xludf.DUMMYFUNCTION("""COMPUTED_VALUE"""),"Direitos humanos; Política social; Questões sociais")</f>
        <v>Direitos humanos; Política social; Questões sociais</v>
      </c>
      <c r="G175" s="28" t="str">
        <f>IFERROR(__xludf.DUMMYFUNCTION("""COMPUTED_VALUE"""),"9788523714031")</f>
        <v>9788523714031</v>
      </c>
      <c r="H175" s="29" t="str">
        <f>IFERROR(__xludf.DUMMYFUNCTION("""COMPUTED_VALUE"""),"http://www.editora.ufpb.br/sistema/press5/index.php/UFPB/catalog/book/356")</f>
        <v>http://www.editora.ufpb.br/sistema/press5/index.php/UFPB/catalog/book/356</v>
      </c>
      <c r="I175" s="24" t="str">
        <f>IFERROR(__xludf.DUMMYFUNCTION("""COMPUTED_VALUE"""),"Ciências Sociais Aplicadas")</f>
        <v>Ciências Sociais Aplicadas</v>
      </c>
    </row>
    <row r="176">
      <c r="A176" s="24" t="str">
        <f>IFERROR(__xludf.DUMMYFUNCTION("""COMPUTED_VALUE"""),"Direitos humanos e refugiados")</f>
        <v>Direitos humanos e refugiados</v>
      </c>
      <c r="B176" s="24" t="str">
        <f>IFERROR(__xludf.DUMMYFUNCTION("""COMPUTED_VALUE"""),"Cesar Augusto S. da Silva(organizador.).")</f>
        <v>Cesar Augusto S. da Silva(organizador.).</v>
      </c>
      <c r="C176" s="24" t="str">
        <f>IFERROR(__xludf.DUMMYFUNCTION("""COMPUTED_VALUE"""),"Dourados, MS")</f>
        <v>Dourados, MS</v>
      </c>
      <c r="D176" s="24" t="str">
        <f>IFERROR(__xludf.DUMMYFUNCTION("""COMPUTED_VALUE"""),"Ed. UFGD")</f>
        <v>Ed. UFGD</v>
      </c>
      <c r="E176" s="25">
        <f>IFERROR(__xludf.DUMMYFUNCTION("""COMPUTED_VALUE"""),2012.0)</f>
        <v>2012</v>
      </c>
      <c r="F176" s="24" t="str">
        <f>IFERROR(__xludf.DUMMYFUNCTION("""COMPUTED_VALUE"""),"Refugiados; Migrantes; Direito de migração; Direito internacional público")</f>
        <v>Refugiados; Migrantes; Direito de migração; Direito internacional público</v>
      </c>
      <c r="G176" s="28" t="str">
        <f>IFERROR(__xludf.DUMMYFUNCTION("""COMPUTED_VALUE"""),"9788581470016")</f>
        <v>9788581470016</v>
      </c>
      <c r="H176" s="29" t="str">
        <f>IFERROR(__xludf.DUMMYFUNCTION("""COMPUTED_VALUE"""),"http://omp.ufgd.edu.br/omp/index.php/livrosabertos/catalog/view/76/83/329-1")</f>
        <v>http://omp.ufgd.edu.br/omp/index.php/livrosabertos/catalog/view/76/83/329-1</v>
      </c>
      <c r="I176" s="24" t="str">
        <f>IFERROR(__xludf.DUMMYFUNCTION("""COMPUTED_VALUE"""),"Ciências Sociais Aplicadas")</f>
        <v>Ciências Sociais Aplicadas</v>
      </c>
    </row>
    <row r="177">
      <c r="A177" s="24" t="str">
        <f>IFERROR(__xludf.DUMMYFUNCTION("""COMPUTED_VALUE"""),"Direitos Humanos e vunerabilidade e o direito humanitário")</f>
        <v>Direitos Humanos e vunerabilidade e o direito humanitário</v>
      </c>
      <c r="B177" s="24" t="str">
        <f>IFERROR(__xludf.DUMMYFUNCTION("""COMPUTED_VALUE"""),"Liliana Lyra Jubilut; Rachel de Oliveira Lopes; Gabriela Soldano Garcez; Ananda Pórpora Fernandes (org.)")</f>
        <v>Liliana Lyra Jubilut; Rachel de Oliveira Lopes; Gabriela Soldano Garcez; Ananda Pórpora Fernandes (org.)</v>
      </c>
      <c r="C177" s="24" t="str">
        <f>IFERROR(__xludf.DUMMYFUNCTION("""COMPUTED_VALUE"""),"Boa Vista ")</f>
        <v>Boa Vista </v>
      </c>
      <c r="D177" s="24" t="str">
        <f>IFERROR(__xludf.DUMMYFUNCTION("""COMPUTED_VALUE"""),"UFRR")</f>
        <v>UFRR</v>
      </c>
      <c r="E177" s="25">
        <f>IFERROR(__xludf.DUMMYFUNCTION("""COMPUTED_VALUE"""),2019.0)</f>
        <v>2019</v>
      </c>
      <c r="F177" s="24" t="str">
        <f>IFERROR(__xludf.DUMMYFUNCTION("""COMPUTED_VALUE"""),"Direito Internacional Humanitário; Direitos humanos; Assistência Humanitária; Humanitarismo")</f>
        <v>Direito Internacional Humanitário; Direitos humanos; Assistência Humanitária; Humanitarismo</v>
      </c>
      <c r="G177" s="28" t="str">
        <f>IFERROR(__xludf.DUMMYFUNCTION("""COMPUTED_VALUE"""),"9788582882337")</f>
        <v>9788582882337</v>
      </c>
      <c r="H177" s="29" t="str">
        <f>IFERROR(__xludf.DUMMYFUNCTION("""COMPUTED_VALUE"""),"http://ufrr.br/editora/index.php/editais?download=421")</f>
        <v>http://ufrr.br/editora/index.php/editais?download=421</v>
      </c>
      <c r="I177" s="24" t="str">
        <f>IFERROR(__xludf.DUMMYFUNCTION("""COMPUTED_VALUE"""),"Ciências Sociais Aplicadas")</f>
        <v>Ciências Sociais Aplicadas</v>
      </c>
    </row>
    <row r="178">
      <c r="A178" s="24" t="str">
        <f>IFERROR(__xludf.DUMMYFUNCTION("""COMPUTED_VALUE"""),"Direitos humanos fundamentais: aspectos atuais")</f>
        <v>Direitos humanos fundamentais: aspectos atuais</v>
      </c>
      <c r="B178" s="24" t="str">
        <f>IFERROR(__xludf.DUMMYFUNCTION("""COMPUTED_VALUE"""),"Janaína Reckziegel e Orides Mezzaroba")</f>
        <v>Janaína Reckziegel e Orides Mezzaroba</v>
      </c>
      <c r="C178" s="24" t="str">
        <f>IFERROR(__xludf.DUMMYFUNCTION("""COMPUTED_VALUE"""),"Joaçaba")</f>
        <v>Joaçaba</v>
      </c>
      <c r="D178" s="24" t="str">
        <f>IFERROR(__xludf.DUMMYFUNCTION("""COMPUTED_VALUE"""),"Unoesc")</f>
        <v>Unoesc</v>
      </c>
      <c r="E178" s="25">
        <f>IFERROR(__xludf.DUMMYFUNCTION("""COMPUTED_VALUE"""),2018.0)</f>
        <v>2018</v>
      </c>
      <c r="F178" s="24" t="str">
        <f>IFERROR(__xludf.DUMMYFUNCTION("""COMPUTED_VALUE"""),"Direitos fundamentais, Direitos humanos,; Princípio da dignidade da pessoa humana")</f>
        <v>Direitos fundamentais, Direitos humanos,; Princípio da dignidade da pessoa humana</v>
      </c>
      <c r="G178" s="28" t="str">
        <f>IFERROR(__xludf.DUMMYFUNCTION("""COMPUTED_VALUE"""),"9788584221974")</f>
        <v>9788584221974</v>
      </c>
      <c r="H178" s="29" t="str">
        <f>IFERROR(__xludf.DUMMYFUNCTION("""COMPUTED_VALUE"""),"https://www.unoesc.edu.br/images/uploads/editora/Janaina_Reckziegel_-_Direitos_Humanos_Fundamentais.pdf")</f>
        <v>https://www.unoesc.edu.br/images/uploads/editora/Janaina_Reckziegel_-_Direitos_Humanos_Fundamentais.pdf</v>
      </c>
      <c r="I178" s="24" t="str">
        <f>IFERROR(__xludf.DUMMYFUNCTION("""COMPUTED_VALUE"""),"Ciências Sociais Aplicadas")</f>
        <v>Ciências Sociais Aplicadas</v>
      </c>
    </row>
    <row r="179">
      <c r="A179" s="24" t="str">
        <f>IFERROR(__xludf.DUMMYFUNCTION("""COMPUTED_VALUE"""),"Direitos humanos fundamentais: bioética e aspectos do estado social")</f>
        <v>Direitos humanos fundamentais: bioética e aspectos do estado social</v>
      </c>
      <c r="B179" s="24" t="str">
        <f>IFERROR(__xludf.DUMMYFUNCTION("""COMPUTED_VALUE"""),"Janaína Reckziegel, Riva Sobrado de Freitas")</f>
        <v>Janaína Reckziegel, Riva Sobrado de Freitas</v>
      </c>
      <c r="C179" s="24" t="str">
        <f>IFERROR(__xludf.DUMMYFUNCTION("""COMPUTED_VALUE"""),"Joaçaba")</f>
        <v>Joaçaba</v>
      </c>
      <c r="D179" s="24" t="str">
        <f>IFERROR(__xludf.DUMMYFUNCTION("""COMPUTED_VALUE"""),"Unoesc")</f>
        <v>Unoesc</v>
      </c>
      <c r="E179" s="25">
        <f>IFERROR(__xludf.DUMMYFUNCTION("""COMPUTED_VALUE"""),2017.0)</f>
        <v>2017</v>
      </c>
      <c r="F179" s="24" t="str">
        <f>IFERROR(__xludf.DUMMYFUNCTION("""COMPUTED_VALUE"""),"Direitos fundamentais, Direitos humanos, Bioética")</f>
        <v>Direitos fundamentais, Direitos humanos, Bioética</v>
      </c>
      <c r="G179" s="28" t="str">
        <f>IFERROR(__xludf.DUMMYFUNCTION("""COMPUTED_VALUE"""),"9788584221417")</f>
        <v>9788584221417</v>
      </c>
      <c r="H179" s="29" t="str">
        <f>IFERROR(__xludf.DUMMYFUNCTION("""COMPUTED_VALUE"""),"https://www.unoesc.edu.br/images/uploads/editora/bio%c3%a9tica_e_aspectos_do_estado_social.pdf")</f>
        <v>https://www.unoesc.edu.br/images/uploads/editora/bio%c3%a9tica_e_aspectos_do_estado_social.pdf</v>
      </c>
      <c r="I179" s="24" t="str">
        <f>IFERROR(__xludf.DUMMYFUNCTION("""COMPUTED_VALUE"""),"Ciências Sociais Aplicadas")</f>
        <v>Ciências Sociais Aplicadas</v>
      </c>
    </row>
    <row r="180">
      <c r="A180" s="24" t="str">
        <f>IFERROR(__xludf.DUMMYFUNCTION("""COMPUTED_VALUE"""),"Direitos humanos previdenciários: a aplicação dos tratados internacionais de direitos humanos pelos tribunais brasileiros nos casos de direito previdenciário")</f>
        <v>Direitos humanos previdenciários: a aplicação dos tratados internacionais de direitos humanos pelos tribunais brasileiros nos casos de direito previdenciário</v>
      </c>
      <c r="B180" s="24" t="str">
        <f>IFERROR(__xludf.DUMMYFUNCTION("""COMPUTED_VALUE"""),"Silvana Barros da Costa")</f>
        <v>Silvana Barros da Costa</v>
      </c>
      <c r="C180" s="24" t="str">
        <f>IFERROR(__xludf.DUMMYFUNCTION("""COMPUTED_VALUE"""),"Joaçaba")</f>
        <v>Joaçaba</v>
      </c>
      <c r="D180" s="24" t="str">
        <f>IFERROR(__xludf.DUMMYFUNCTION("""COMPUTED_VALUE"""),"Unoesc")</f>
        <v>Unoesc</v>
      </c>
      <c r="E180" s="25">
        <f>IFERROR(__xludf.DUMMYFUNCTION("""COMPUTED_VALUE"""),2017.0)</f>
        <v>2017</v>
      </c>
      <c r="F180" s="24" t="str">
        <f>IFERROR(__xludf.DUMMYFUNCTION("""COMPUTED_VALUE"""),"Previdência social, Seguridade social,; Direitos fundamentais, Direitos humanos")</f>
        <v>Previdência social, Seguridade social,; Direitos fundamentais, Direitos humanos</v>
      </c>
      <c r="G180" s="28" t="str">
        <f>IFERROR(__xludf.DUMMYFUNCTION("""COMPUTED_VALUE"""),"9788584221080")</f>
        <v>9788584221080</v>
      </c>
      <c r="H180" s="29" t="str">
        <f>IFERROR(__xludf.DUMMYFUNCTION("""COMPUTED_VALUE"""),"https://www.unoesc.edu.br/images/uploads/editora/Direitos_humanos_previdenciarios.pdf")</f>
        <v>https://www.unoesc.edu.br/images/uploads/editora/Direitos_humanos_previdenciarios.pdf</v>
      </c>
      <c r="I180" s="24" t="str">
        <f>IFERROR(__xludf.DUMMYFUNCTION("""COMPUTED_VALUE"""),"Ciências Sociais Aplicadas")</f>
        <v>Ciências Sociais Aplicadas</v>
      </c>
    </row>
    <row r="181">
      <c r="A181" s="24" t="str">
        <f>IFERROR(__xludf.DUMMYFUNCTION("""COMPUTED_VALUE"""),"Direitos Humanos Sem Fundamentos? Uma Abordagem Retórica dos Discursos de (Des) Legitimação no (Pós) Moderno (disponível temporariamente)")</f>
        <v>Direitos Humanos Sem Fundamentos? Uma Abordagem Retórica dos Discursos de (Des) Legitimação no (Pós) Moderno (disponível temporariamente)</v>
      </c>
      <c r="B181" s="24" t="str">
        <f>IFERROR(__xludf.DUMMYFUNCTION("""COMPUTED_VALUE"""),"Maria Luiza Caxias Albano; Pedro Parini")</f>
        <v>Maria Luiza Caxias Albano; Pedro Parini</v>
      </c>
      <c r="C181" s="24" t="str">
        <f>IFERROR(__xludf.DUMMYFUNCTION("""COMPUTED_VALUE"""),"João Pessoa")</f>
        <v>João Pessoa</v>
      </c>
      <c r="D181" s="24" t="str">
        <f>IFERROR(__xludf.DUMMYFUNCTION("""COMPUTED_VALUE"""),"Editora da UFPB")</f>
        <v>Editora da UFPB</v>
      </c>
      <c r="E181" s="25">
        <f>IFERROR(__xludf.DUMMYFUNCTION("""COMPUTED_VALUE"""),2017.0)</f>
        <v>2017</v>
      </c>
      <c r="F181" s="24" t="str">
        <f>IFERROR(__xludf.DUMMYFUNCTION("""COMPUTED_VALUE"""),"Direitos humanos -aspectos e desafios. Legitimação- Direitos humanos. Deslegitimação- Direitos humanos")</f>
        <v>Direitos humanos -aspectos e desafios. Legitimação- Direitos humanos. Deslegitimação- Direitos humanos</v>
      </c>
      <c r="G181" s="28" t="str">
        <f>IFERROR(__xludf.DUMMYFUNCTION("""COMPUTED_VALUE"""),"9788523712846")</f>
        <v>9788523712846</v>
      </c>
      <c r="H181" s="29" t="str">
        <f>IFERROR(__xludf.DUMMYFUNCTION("""COMPUTED_VALUE"""),"http://www.editora.ufpb.br/sistema/press5/index.php/UFPB/catalog/book/279")</f>
        <v>http://www.editora.ufpb.br/sistema/press5/index.php/UFPB/catalog/book/279</v>
      </c>
      <c r="I181" s="24" t="str">
        <f>IFERROR(__xludf.DUMMYFUNCTION("""COMPUTED_VALUE"""),"Ciências Sociais Aplicadas")</f>
        <v>Ciências Sociais Aplicadas</v>
      </c>
    </row>
    <row r="182">
      <c r="A182" s="24" t="str">
        <f>IFERROR(__xludf.DUMMYFUNCTION("""COMPUTED_VALUE"""),"Direitos sexuais e Direito de Família em perspectiva queer")</f>
        <v>Direitos sexuais e Direito de Família em perspectiva queer</v>
      </c>
      <c r="B182" s="24" t="str">
        <f>IFERROR(__xludf.DUMMYFUNCTION("""COMPUTED_VALUE"""),"Daniel Borrillo Fernando Seffner (org.) Roger Raupp Rios (org.); ")</f>
        <v>Daniel Borrillo Fernando Seffner (org.) Roger Raupp Rios (org.); </v>
      </c>
      <c r="C182" s="24" t="str">
        <f>IFERROR(__xludf.DUMMYFUNCTION("""COMPUTED_VALUE"""),"Porto Alegre")</f>
        <v>Porto Alegre</v>
      </c>
      <c r="D182" s="24" t="str">
        <f>IFERROR(__xludf.DUMMYFUNCTION("""COMPUTED_VALUE"""),"UFCSPA ")</f>
        <v>UFCSPA </v>
      </c>
      <c r="E182" s="25">
        <f>IFERROR(__xludf.DUMMYFUNCTION("""COMPUTED_VALUE"""),2018.0)</f>
        <v>2018</v>
      </c>
      <c r="F182" s="24" t="str">
        <f>IFERROR(__xludf.DUMMYFUNCTION("""COMPUTED_VALUE"""),"Direito Direito de família Direitos sexuais")</f>
        <v>Direito Direito de família Direitos sexuais</v>
      </c>
      <c r="G182" s="28" t="str">
        <f>IFERROR(__xludf.DUMMYFUNCTION("""COMPUTED_VALUE"""),"9788592652074")</f>
        <v>9788592652074</v>
      </c>
      <c r="H182" s="29" t="str">
        <f>IFERROR(__xludf.DUMMYFUNCTION("""COMPUTED_VALUE"""),"https://www.ufcspa.edu.br/editora_log/download.php?cod=004&amp;tipo=pdf")</f>
        <v>https://www.ufcspa.edu.br/editora_log/download.php?cod=004&amp;tipo=pdf</v>
      </c>
      <c r="I182" s="24" t="str">
        <f>IFERROR(__xludf.DUMMYFUNCTION("""COMPUTED_VALUE"""),"Ciências Sociais Aplicadas")</f>
        <v>Ciências Sociais Aplicadas</v>
      </c>
    </row>
    <row r="183">
      <c r="A183" s="24" t="str">
        <f>IFERROR(__xludf.DUMMYFUNCTION("""COMPUTED_VALUE"""),"Direitos Sociais: O artigo 6º da Constituição Federal e sua efetividade")</f>
        <v>Direitos Sociais: O artigo 6º da Constituição Federal e sua efetividade</v>
      </c>
      <c r="B183" s="24" t="str">
        <f>IFERROR(__xludf.DUMMYFUNCTION("""COMPUTED_VALUE"""),"Clésia Oliveira Pachú (org.)")</f>
        <v>Clésia Oliveira Pachú (org.)</v>
      </c>
      <c r="C183" s="24" t="str">
        <f>IFERROR(__xludf.DUMMYFUNCTION("""COMPUTED_VALUE"""),"Campina Grande")</f>
        <v>Campina Grande</v>
      </c>
      <c r="D183" s="24" t="str">
        <f>IFERROR(__xludf.DUMMYFUNCTION("""COMPUTED_VALUE"""),"EDUEPB")</f>
        <v>EDUEPB</v>
      </c>
      <c r="E183" s="25">
        <f>IFERROR(__xludf.DUMMYFUNCTION("""COMPUTED_VALUE"""),2015.0)</f>
        <v>2015</v>
      </c>
      <c r="F183" s="24" t="str">
        <f>IFERROR(__xludf.DUMMYFUNCTION("""COMPUTED_VALUE"""),"Direito. Direito social. Artigo 6º. Constituição Federal do Brasil. Efetividade. Políticas públicas. Bolsa família. Saúde. Ensino. Previdência social")</f>
        <v>Direito. Direito social. Artigo 6º. Constituição Federal do Brasil. Efetividade. Políticas públicas. Bolsa família. Saúde. Ensino. Previdência social</v>
      </c>
      <c r="G183" s="28" t="str">
        <f>IFERROR(__xludf.DUMMYFUNCTION("""COMPUTED_VALUE"""),"9788578792626")</f>
        <v>9788578792626</v>
      </c>
      <c r="H183" s="29" t="str">
        <f>IFERROR(__xludf.DUMMYFUNCTION("""COMPUTED_VALUE"""),"http://eduepb.uepb.edu.br/download/direitos-sociais-o-artigo-6o-da-constituicao-federal-e-sua-efetividade/?wpdmdl=174&amp;amp;masterkey=5af998e582a59")</f>
        <v>http://eduepb.uepb.edu.br/download/direitos-sociais-o-artigo-6o-da-constituicao-federal-e-sua-efetividade/?wpdmdl=174&amp;amp;masterkey=5af998e582a59</v>
      </c>
      <c r="I183" s="24" t="str">
        <f>IFERROR(__xludf.DUMMYFUNCTION("""COMPUTED_VALUE"""),"Ciências Sociais Aplicadas")</f>
        <v>Ciências Sociais Aplicadas</v>
      </c>
    </row>
    <row r="184">
      <c r="A184" s="24" t="str">
        <f>IFERROR(__xludf.DUMMYFUNCTION("""COMPUTED_VALUE"""),"Diretivas antecipadas de vontade e o direito de morrer com dignidade")</f>
        <v>Diretivas antecipadas de vontade e o direito de morrer com dignidade</v>
      </c>
      <c r="B184" s="24" t="str">
        <f>IFERROR(__xludf.DUMMYFUNCTION("""COMPUTED_VALUE"""),"Beatriz Diana Bauermann Coninck")</f>
        <v>Beatriz Diana Bauermann Coninck</v>
      </c>
      <c r="C184" s="24" t="str">
        <f>IFERROR(__xludf.DUMMYFUNCTION("""COMPUTED_VALUE"""),"Joaçaba")</f>
        <v>Joaçaba</v>
      </c>
      <c r="D184" s="24" t="str">
        <f>IFERROR(__xludf.DUMMYFUNCTION("""COMPUTED_VALUE"""),"Unoesc")</f>
        <v>Unoesc</v>
      </c>
      <c r="E184" s="25">
        <f>IFERROR(__xludf.DUMMYFUNCTION("""COMPUTED_VALUE"""),2017.0)</f>
        <v>2017</v>
      </c>
      <c r="F184" s="24" t="str">
        <f>IFERROR(__xludf.DUMMYFUNCTION("""COMPUTED_VALUE"""),"Direito à morte, Declaração da vontade,; Direito à dignidade")</f>
        <v>Direito à morte, Declaração da vontade,; Direito à dignidade</v>
      </c>
      <c r="G184" s="28" t="str">
        <f>IFERROR(__xludf.DUMMYFUNCTION("""COMPUTED_VALUE"""),"9788584221035")</f>
        <v>9788584221035</v>
      </c>
      <c r="H184" s="29" t="str">
        <f>IFERROR(__xludf.DUMMYFUNCTION("""COMPUTED_VALUE"""),"https://www.unoesc.edu.br/images/uploads/editora/Diretivas_antecipadas_de_vontade_e_o_direito_de_morrer.pdf")</f>
        <v>https://www.unoesc.edu.br/images/uploads/editora/Diretivas_antecipadas_de_vontade_e_o_direito_de_morrer.pdf</v>
      </c>
      <c r="I184" s="24" t="str">
        <f>IFERROR(__xludf.DUMMYFUNCTION("""COMPUTED_VALUE"""),"Ciências Sociais Aplicadas")</f>
        <v>Ciências Sociais Aplicadas</v>
      </c>
    </row>
    <row r="185">
      <c r="A185" s="24" t="str">
        <f>IFERROR(__xludf.DUMMYFUNCTION("""COMPUTED_VALUE"""),"Discurso e resistência na Amazônia acreana (1971-1981)")</f>
        <v>Discurso e resistência na Amazônia acreana (1971-1981)</v>
      </c>
      <c r="B185" s="24" t="str">
        <f>IFERROR(__xludf.DUMMYFUNCTION("""COMPUTED_VALUE"""),"Jefferson Henrique Cidreira")</f>
        <v>Jefferson Henrique Cidreira</v>
      </c>
      <c r="C185" s="24" t="str">
        <f>IFERROR(__xludf.DUMMYFUNCTION("""COMPUTED_VALUE"""),"Rio Branco")</f>
        <v>Rio Branco</v>
      </c>
      <c r="D185" s="24" t="str">
        <f>IFERROR(__xludf.DUMMYFUNCTION("""COMPUTED_VALUE"""),"Edufac")</f>
        <v>Edufac</v>
      </c>
      <c r="E185" s="25">
        <f>IFERROR(__xludf.DUMMYFUNCTION("""COMPUTED_VALUE"""),2016.0)</f>
        <v>2016</v>
      </c>
      <c r="F185" s="24" t="str">
        <f>IFERROR(__xludf.DUMMYFUNCTION("""COMPUTED_VALUE"""),"Discursos - comunicação de massa - Acre; Resistência - discurso - Acre; Comunicação de massa - aspectos sociais")</f>
        <v>Discursos - comunicação de massa - Acre; Resistência - discurso - Acre; Comunicação de massa - aspectos sociais</v>
      </c>
      <c r="G185" s="28" t="str">
        <f>IFERROR(__xludf.DUMMYFUNCTION("""COMPUTED_VALUE"""),"9788582360354")</f>
        <v>9788582360354</v>
      </c>
      <c r="H185" s="29" t="str">
        <f>IFERROR(__xludf.DUMMYFUNCTION("""COMPUTED_VALUE"""),"http://www2.ufac.br/editora/livros/discurso-e-resistencia-na-amazonia-acreana.pdf")</f>
        <v>http://www2.ufac.br/editora/livros/discurso-e-resistencia-na-amazonia-acreana.pdf</v>
      </c>
      <c r="I185" s="24" t="str">
        <f>IFERROR(__xludf.DUMMYFUNCTION("""COMPUTED_VALUE"""),"Ciências Sociais Aplicadas")</f>
        <v>Ciências Sociais Aplicadas</v>
      </c>
    </row>
    <row r="186">
      <c r="A186" s="24" t="str">
        <f>IFERROR(__xludf.DUMMYFUNCTION("""COMPUTED_VALUE"""),"Do clique à urna: internet, redes sociais e eleições no Brasil")</f>
        <v>Do clique à urna: internet, redes sociais e eleições no Brasil</v>
      </c>
      <c r="B186" s="24" t="str">
        <f>IFERROR(__xludf.DUMMYFUNCTION("""COMPUTED_VALUE"""),"Francisco Paulo Jamil Almeida Marques, Rafael Cardoso Sampaio, Camilo Aggio")</f>
        <v>Francisco Paulo Jamil Almeida Marques, Rafael Cardoso Sampaio, Camilo Aggio</v>
      </c>
      <c r="C186" s="24" t="str">
        <f>IFERROR(__xludf.DUMMYFUNCTION("""COMPUTED_VALUE"""),"Salvador")</f>
        <v>Salvador</v>
      </c>
      <c r="D186" s="24" t="str">
        <f>IFERROR(__xludf.DUMMYFUNCTION("""COMPUTED_VALUE"""),"EDUFBA")</f>
        <v>EDUFBA</v>
      </c>
      <c r="E186" s="25">
        <f>IFERROR(__xludf.DUMMYFUNCTION("""COMPUTED_VALUE"""),2013.0)</f>
        <v>2013</v>
      </c>
      <c r="F186" s="24" t="str">
        <f>IFERROR(__xludf.DUMMYFUNCTION("""COMPUTED_VALUE"""),"Campanha eleitoral; Eleições; Participação política; Redes sociais; Twitter")</f>
        <v>Campanha eleitoral; Eleições; Participação política; Redes sociais; Twitter</v>
      </c>
      <c r="G186" s="28" t="str">
        <f>IFERROR(__xludf.DUMMYFUNCTION("""COMPUTED_VALUE"""),"9788523210649")</f>
        <v>9788523210649</v>
      </c>
      <c r="H186" s="29" t="str">
        <f>IFERROR(__xludf.DUMMYFUNCTION("""COMPUTED_VALUE"""),"	http://www.repositorio.ufba.br/ri/handle/ri/10078")</f>
        <v>	http://www.repositorio.ufba.br/ri/handle/ri/10078</v>
      </c>
      <c r="I186" s="24" t="str">
        <f>IFERROR(__xludf.DUMMYFUNCTION("""COMPUTED_VALUE"""),"Ciências Sociais Aplicadas")</f>
        <v>Ciências Sociais Aplicadas</v>
      </c>
    </row>
    <row r="187">
      <c r="A187" s="24" t="str">
        <f>IFERROR(__xludf.DUMMYFUNCTION("""COMPUTED_VALUE"""),"Doze Lições De Fato E De Direito")</f>
        <v>Doze Lições De Fato E De Direito</v>
      </c>
      <c r="B187" s="24" t="str">
        <f>IFERROR(__xludf.DUMMYFUNCTION("""COMPUTED_VALUE"""),"Rosangela Tremel; Virginia Lopes Rosa; Zacaria Alexandre Nassar (org.)")</f>
        <v>Rosangela Tremel; Virginia Lopes Rosa; Zacaria Alexandre Nassar (org.)</v>
      </c>
      <c r="C187" s="24" t="str">
        <f>IFERROR(__xludf.DUMMYFUNCTION("""COMPUTED_VALUE"""),"Campina Grande")</f>
        <v>Campina Grande</v>
      </c>
      <c r="D187" s="24" t="str">
        <f>IFERROR(__xludf.DUMMYFUNCTION("""COMPUTED_VALUE"""),"EDUEPB")</f>
        <v>EDUEPB</v>
      </c>
      <c r="E187" s="25">
        <f>IFERROR(__xludf.DUMMYFUNCTION("""COMPUTED_VALUE"""),2017.0)</f>
        <v>2017</v>
      </c>
      <c r="F187" s="24" t="str">
        <f>IFERROR(__xludf.DUMMYFUNCTION("""COMPUTED_VALUE"""),"Direito. Interpretação constitucional. Educação previdenciária. Ensino superior. Microempreendedor. Violência nas escolas")</f>
        <v>Direito. Interpretação constitucional. Educação previdenciária. Ensino superior. Microempreendedor. Violência nas escolas</v>
      </c>
      <c r="G187" s="28" t="str">
        <f>IFERROR(__xludf.DUMMYFUNCTION("""COMPUTED_VALUE"""),"9788578794309")</f>
        <v>9788578794309</v>
      </c>
      <c r="H187" s="29" t="str">
        <f>IFERROR(__xludf.DUMMYFUNCTION("""COMPUTED_VALUE"""),"http://eduepb.uepb.edu.br/download/doze-licoes-de-fato-e-de-direito/?wpdmdl=179&amp;amp;masterkey=5af99a1306209")</f>
        <v>http://eduepb.uepb.edu.br/download/doze-licoes-de-fato-e-de-direito/?wpdmdl=179&amp;amp;masterkey=5af99a1306209</v>
      </c>
      <c r="I187" s="24" t="str">
        <f>IFERROR(__xludf.DUMMYFUNCTION("""COMPUTED_VALUE"""),"Ciências Sociais Aplicadas")</f>
        <v>Ciências Sociais Aplicadas</v>
      </c>
    </row>
    <row r="188">
      <c r="A188" s="24" t="str">
        <f>IFERROR(__xludf.DUMMYFUNCTION("""COMPUTED_VALUE"""),"E-justice and governance: collected studies")</f>
        <v>E-justice and governance: collected studies</v>
      </c>
      <c r="B188" s="24" t="str">
        <f>IFERROR(__xludf.DUMMYFUNCTION("""COMPUTED_VALUE"""),"Serbena, Cesar Antonio")</f>
        <v>Serbena, Cesar Antonio</v>
      </c>
      <c r="C188" s="24" t="str">
        <f>IFERROR(__xludf.DUMMYFUNCTION("""COMPUTED_VALUE"""),"Curitiba")</f>
        <v>Curitiba</v>
      </c>
      <c r="D188" s="24" t="str">
        <f>IFERROR(__xludf.DUMMYFUNCTION("""COMPUTED_VALUE"""),"UFPR")</f>
        <v>UFPR</v>
      </c>
      <c r="E188" s="25">
        <f>IFERROR(__xludf.DUMMYFUNCTION("""COMPUTED_VALUE"""),2015.0)</f>
        <v>2015</v>
      </c>
      <c r="F188" s="24" t="str">
        <f>IFERROR(__xludf.DUMMYFUNCTION("""COMPUTED_VALUE"""),"Law Tecnology; Governance; E- justice; Internet in public administration")</f>
        <v>Law Tecnology; Governance; E- justice; Internet in public administration</v>
      </c>
      <c r="G188" s="28" t="str">
        <f>IFERROR(__xludf.DUMMYFUNCTION("""COMPUTED_VALUE"""),"9788573353105")</f>
        <v>9788573353105</v>
      </c>
      <c r="H188" s="29" t="str">
        <f>IFERROR(__xludf.DUMMYFUNCTION("""COMPUTED_VALUE"""),"http://hdl.handle.net/1884/37940")</f>
        <v>http://hdl.handle.net/1884/37940</v>
      </c>
      <c r="I188" s="24" t="str">
        <f>IFERROR(__xludf.DUMMYFUNCTION("""COMPUTED_VALUE"""),"Ciências Sociais Aplicadas")</f>
        <v>Ciências Sociais Aplicadas</v>
      </c>
    </row>
    <row r="189">
      <c r="A189" s="24" t="str">
        <f>IFERROR(__xludf.DUMMYFUNCTION("""COMPUTED_VALUE"""),"Economia criativa, cultura e políticas públicas")</f>
        <v>Economia criativa, cultura e políticas públicas</v>
      </c>
      <c r="B189" s="24" t="str">
        <f>IFERROR(__xludf.DUMMYFUNCTION("""COMPUTED_VALUE"""),"Valiati, Leandro ")</f>
        <v>Valiati, Leandro </v>
      </c>
      <c r="C189" s="24" t="str">
        <f>IFERROR(__xludf.DUMMYFUNCTION("""COMPUTED_VALUE"""),"Porto Alegre")</f>
        <v>Porto Alegre</v>
      </c>
      <c r="D189" s="24" t="str">
        <f>IFERROR(__xludf.DUMMYFUNCTION("""COMPUTED_VALUE"""),"UFRGS")</f>
        <v>UFRGS</v>
      </c>
      <c r="E189" s="25">
        <f>IFERROR(__xludf.DUMMYFUNCTION("""COMPUTED_VALUE"""),2016.0)</f>
        <v>2016</v>
      </c>
      <c r="F189" s="24" t="str">
        <f>IFERROR(__xludf.DUMMYFUNCTION("""COMPUTED_VALUE"""),"Arranjos produtivos; Economia da cultura; Microcrédito; Política cultural; Políticas públicas")</f>
        <v>Arranjos produtivos; Economia da cultura; Microcrédito; Política cultural; Políticas públicas</v>
      </c>
      <c r="G189" s="28" t="str">
        <f>IFERROR(__xludf.DUMMYFUNCTION("""COMPUTED_VALUE"""),"9788538604846")</f>
        <v>9788538604846</v>
      </c>
      <c r="H189" s="29" t="str">
        <f>IFERROR(__xludf.DUMMYFUNCTION("""COMPUTED_VALUE"""),"http://hdl.handle.net/10183/198726")</f>
        <v>http://hdl.handle.net/10183/198726</v>
      </c>
      <c r="I189" s="24" t="str">
        <f>IFERROR(__xludf.DUMMYFUNCTION("""COMPUTED_VALUE"""),"Ciências Sociais Aplicadas")</f>
        <v>Ciências Sociais Aplicadas</v>
      </c>
    </row>
    <row r="190">
      <c r="A190" s="24" t="str">
        <f>IFERROR(__xludf.DUMMYFUNCTION("""COMPUTED_VALUE"""),"Economia e cultura do Candomblé na Bahia: o comércio de objetos litúrgicos afro-brasileiros - 1850/1937 ")</f>
        <v>Economia e cultura do Candomblé na Bahia: o comércio de objetos litúrgicos afro-brasileiros - 1850/1937 </v>
      </c>
      <c r="B190" s="24" t="str">
        <f>IFERROR(__xludf.DUMMYFUNCTION("""COMPUTED_VALUE"""),"Flávio Gonçalves dos Santos")</f>
        <v>Flávio Gonçalves dos Santos</v>
      </c>
      <c r="C190" s="24" t="str">
        <f>IFERROR(__xludf.DUMMYFUNCTION("""COMPUTED_VALUE"""),"Ilhéus, BA")</f>
        <v>Ilhéus, BA</v>
      </c>
      <c r="D190" s="24" t="str">
        <f>IFERROR(__xludf.DUMMYFUNCTION("""COMPUTED_VALUE"""),"Editus")</f>
        <v>Editus</v>
      </c>
      <c r="E190" s="25">
        <f>IFERROR(__xludf.DUMMYFUNCTION("""COMPUTED_VALUE"""),2013.0)</f>
        <v>2013</v>
      </c>
      <c r="F190" s="24" t="str">
        <f>IFERROR(__xludf.DUMMYFUNCTION("""COMPUTED_VALUE"""),"Economia – Aspectos religiosos; Candomblé – Bahia -; História; Objetos litúrgicos – Aspectos econômicos – Cultos; afro-brasileiros; Religião – Aspectos econômicos")</f>
        <v>Economia – Aspectos religiosos; Candomblé – Bahia -; História; Objetos litúrgicos – Aspectos econômicos – Cultos; afro-brasileiros; Religião – Aspectos econômicos</v>
      </c>
      <c r="G190" s="28" t="str">
        <f>IFERROR(__xludf.DUMMYFUNCTION("""COMPUTED_VALUE"""),"9788574552927")</f>
        <v>9788574552927</v>
      </c>
      <c r="H190" s="29" t="str">
        <f>IFERROR(__xludf.DUMMYFUNCTION("""COMPUTED_VALUE"""),"http://www.uesc.br/editora/livrosdigitais2016/economia_cultura_candomble_bahia.pdf")</f>
        <v>http://www.uesc.br/editora/livrosdigitais2016/economia_cultura_candomble_bahia.pdf</v>
      </c>
      <c r="I190" s="24" t="str">
        <f>IFERROR(__xludf.DUMMYFUNCTION("""COMPUTED_VALUE"""),"Ciências Sociais Aplicadas")</f>
        <v>Ciências Sociais Aplicadas</v>
      </c>
    </row>
    <row r="191">
      <c r="A191" s="24" t="str">
        <f>IFERROR(__xludf.DUMMYFUNCTION("""COMPUTED_VALUE"""),"Economia solidária no estado de Roraima: formação e desenvolvimento dos empreendimentos em redes colaborativas ")</f>
        <v>Economia solidária no estado de Roraima: formação e desenvolvimento dos empreendimentos em redes colaborativas </v>
      </c>
      <c r="B191" s="24" t="str">
        <f>IFERROR(__xludf.DUMMYFUNCTION("""COMPUTED_VALUE"""),"Meire Joisy Almeida Pereira; Anderson Paiva; Herundino Ribeiro Filho; Paulo Sérgio Maroti; Cleane da Silva Nascimento (org.)")</f>
        <v>Meire Joisy Almeida Pereira; Anderson Paiva; Herundino Ribeiro Filho; Paulo Sérgio Maroti; Cleane da Silva Nascimento (org.)</v>
      </c>
      <c r="C191" s="24" t="str">
        <f>IFERROR(__xludf.DUMMYFUNCTION("""COMPUTED_VALUE"""),"Boa Vista ")</f>
        <v>Boa Vista </v>
      </c>
      <c r="D191" s="24" t="str">
        <f>IFERROR(__xludf.DUMMYFUNCTION("""COMPUTED_VALUE"""),"UFRR")</f>
        <v>UFRR</v>
      </c>
      <c r="E191" s="25">
        <f>IFERROR(__xludf.DUMMYFUNCTION("""COMPUTED_VALUE"""),2019.0)</f>
        <v>2019</v>
      </c>
      <c r="F191" s="24" t="str">
        <f>IFERROR(__xludf.DUMMYFUNCTION("""COMPUTED_VALUE"""),"Economia solidária; Desenvolvimento econômico; Empreendedorismo; Roraima; Pesquisa científica")</f>
        <v>Economia solidária; Desenvolvimento econômico; Empreendedorismo; Roraima; Pesquisa científica</v>
      </c>
      <c r="G191" s="28" t="str">
        <f>IFERROR(__xludf.DUMMYFUNCTION("""COMPUTED_VALUE"""),"9788582882368")</f>
        <v>9788582882368</v>
      </c>
      <c r="H191" s="29" t="str">
        <f>IFERROR(__xludf.DUMMYFUNCTION("""COMPUTED_VALUE"""),"http://ufrr.br/editora/index.php/editais?download=434")</f>
        <v>http://ufrr.br/editora/index.php/editais?download=434</v>
      </c>
      <c r="I191" s="24" t="str">
        <f>IFERROR(__xludf.DUMMYFUNCTION("""COMPUTED_VALUE"""),"Ciências Sociais Aplicadas")</f>
        <v>Ciências Sociais Aplicadas</v>
      </c>
    </row>
    <row r="192">
      <c r="A192" s="24" t="str">
        <f>IFERROR(__xludf.DUMMYFUNCTION("""COMPUTED_VALUE"""),"Economia: obstáculo epistemológico – Estudo das raízes políticas e religiosas do imaginário liberal")</f>
        <v>Economia: obstáculo epistemológico – Estudo das raízes políticas e religiosas do imaginário liberal</v>
      </c>
      <c r="B192" s="24" t="str">
        <f>IFERROR(__xludf.DUMMYFUNCTION("""COMPUTED_VALUE"""),"Valter Duarte Ferreira Filho")</f>
        <v>Valter Duarte Ferreira Filho</v>
      </c>
      <c r="C192" s="24" t="str">
        <f>IFERROR(__xludf.DUMMYFUNCTION("""COMPUTED_VALUE"""),"Rio de Janeiro")</f>
        <v>Rio de Janeiro</v>
      </c>
      <c r="D192" s="24" t="str">
        <f>IFERROR(__xludf.DUMMYFUNCTION("""COMPUTED_VALUE"""),"EdUERJ")</f>
        <v>EdUERJ</v>
      </c>
      <c r="E192" s="25">
        <f>IFERROR(__xludf.DUMMYFUNCTION("""COMPUTED_VALUE"""),2015.0)</f>
        <v>2015</v>
      </c>
      <c r="F192" s="24" t="str">
        <f>IFERROR(__xludf.DUMMYFUNCTION("""COMPUTED_VALUE"""),"Economia; Política econômica; Liberalismo")</f>
        <v>Economia; Política econômica; Liberalismo</v>
      </c>
      <c r="G192" s="28" t="str">
        <f>IFERROR(__xludf.DUMMYFUNCTION("""COMPUTED_VALUE"""),"9788575113592")</f>
        <v>9788575113592</v>
      </c>
      <c r="H192" s="29" t="str">
        <f>IFERROR(__xludf.DUMMYFUNCTION("""COMPUTED_VALUE"""),"https://www.eduerj.com/eng/?product=economia-obstaculo-epistemologico-estudo-das-raizes-politicas-e-religiosas-do-imaginario-liberal-ebook")</f>
        <v>https://www.eduerj.com/eng/?product=economia-obstaculo-epistemologico-estudo-das-raizes-politicas-e-religiosas-do-imaginario-liberal-ebook</v>
      </c>
      <c r="I192" s="24" t="str">
        <f>IFERROR(__xludf.DUMMYFUNCTION("""COMPUTED_VALUE"""),"Ciências Sociais Aplicadas")</f>
        <v>Ciências Sociais Aplicadas</v>
      </c>
    </row>
    <row r="193">
      <c r="A193" s="24" t="str">
        <f>IFERROR(__xludf.DUMMYFUNCTION("""COMPUTED_VALUE"""),"Editora Universitária: Manual do Usuário")</f>
        <v>Editora Universitária: Manual do Usuário</v>
      </c>
      <c r="B193" s="24" t="str">
        <f>IFERROR(__xludf.DUMMYFUNCTION("""COMPUTED_VALUE"""),"Editora Universitária")</f>
        <v>Editora Universitária</v>
      </c>
      <c r="C193" s="24" t="str">
        <f>IFERROR(__xludf.DUMMYFUNCTION("""COMPUTED_VALUE"""),"Recife")</f>
        <v>Recife</v>
      </c>
      <c r="D193" s="24" t="str">
        <f>IFERROR(__xludf.DUMMYFUNCTION("""COMPUTED_VALUE"""),"Editora Universitária da UFRPE")</f>
        <v>Editora Universitária da UFRPE</v>
      </c>
      <c r="E193" s="25">
        <f>IFERROR(__xludf.DUMMYFUNCTION("""COMPUTED_VALUE"""),2016.0)</f>
        <v>2016</v>
      </c>
      <c r="F193" s="24" t="str">
        <f>IFERROR(__xludf.DUMMYFUNCTION("""COMPUTED_VALUE"""),"Editoras universitárias; Recife; Manuais; Guias")</f>
        <v>Editoras universitárias; Recife; Manuais; Guias</v>
      </c>
      <c r="G193" s="28" t="str">
        <f>IFERROR(__xludf.DUMMYFUNCTION("""COMPUTED_VALUE"""),"9788579462627")</f>
        <v>9788579462627</v>
      </c>
      <c r="H193" s="29" t="str">
        <f>IFERROR(__xludf.DUMMYFUNCTION("""COMPUTED_VALUE"""),"https://www.dropbox.com/s/yhpfyxaw6hpn933/Editora_Manual_2016.pdf?dl=0")</f>
        <v>https://www.dropbox.com/s/yhpfyxaw6hpn933/Editora_Manual_2016.pdf?dl=0</v>
      </c>
      <c r="I193" s="24" t="str">
        <f>IFERROR(__xludf.DUMMYFUNCTION("""COMPUTED_VALUE"""),"Ciências Sociais Aplicadas")</f>
        <v>Ciências Sociais Aplicadas</v>
      </c>
    </row>
    <row r="194">
      <c r="A194" s="24" t="str">
        <f>IFERROR(__xludf.DUMMYFUNCTION("""COMPUTED_VALUE"""),"Educação e decolonialidade: protagonismos educativos em direitos humanos")</f>
        <v>Educação e decolonialidade: protagonismos educativos em direitos humanos</v>
      </c>
      <c r="B194" s="24" t="str">
        <f>IFERROR(__xludf.DUMMYFUNCTION("""COMPUTED_VALUE"""),"Thaís Janaina Weczenovicz, Anderson Alves Costa")</f>
        <v>Thaís Janaina Weczenovicz, Anderson Alves Costa</v>
      </c>
      <c r="C194" s="24" t="str">
        <f>IFERROR(__xludf.DUMMYFUNCTION("""COMPUTED_VALUE"""),"Joaçaba")</f>
        <v>Joaçaba</v>
      </c>
      <c r="D194" s="24" t="str">
        <f>IFERROR(__xludf.DUMMYFUNCTION("""COMPUTED_VALUE"""),"Unoesc")</f>
        <v>Unoesc</v>
      </c>
      <c r="E194" s="25">
        <f>IFERROR(__xludf.DUMMYFUNCTION("""COMPUTED_VALUE"""),2020.0)</f>
        <v>2020</v>
      </c>
      <c r="F194" s="24" t="str">
        <f>IFERROR(__xludf.DUMMYFUNCTION("""COMPUTED_VALUE"""),"Educação, Direito à educação, Direitos humanos")</f>
        <v>Educação, Direito à educação, Direitos humanos</v>
      </c>
      <c r="G194" s="28" t="str">
        <f>IFERROR(__xludf.DUMMYFUNCTION("""COMPUTED_VALUE"""),"9786586158045")</f>
        <v>9786586158045</v>
      </c>
      <c r="H194" s="29" t="str">
        <f>IFERROR(__xludf.DUMMYFUNCTION("""COMPUTED_VALUE"""),"https://www.unoesc.edu.br/images/uploads/editora/Miolo_Educa%c3%a7%c3%a3o_e_Decolonialidade.pdf")</f>
        <v>https://www.unoesc.edu.br/images/uploads/editora/Miolo_Educa%c3%a7%c3%a3o_e_Decolonialidade.pdf</v>
      </c>
      <c r="I194" s="24" t="str">
        <f>IFERROR(__xludf.DUMMYFUNCTION("""COMPUTED_VALUE"""),"Ciências Sociais Aplicadas")</f>
        <v>Ciências Sociais Aplicadas</v>
      </c>
    </row>
    <row r="195">
      <c r="A195" s="24" t="str">
        <f>IFERROR(__xludf.DUMMYFUNCTION("""COMPUTED_VALUE"""),"Educação em direitos humanos: perspectivas decoloniais")</f>
        <v>Educação em direitos humanos: perspectivas decoloniais</v>
      </c>
      <c r="B195" s="24" t="str">
        <f>IFERROR(__xludf.DUMMYFUNCTION("""COMPUTED_VALUE"""),"Messias da Silva Moreira, Thaís Janaina Weczenovicz")</f>
        <v>Messias da Silva Moreira, Thaís Janaina Weczenovicz</v>
      </c>
      <c r="C195" s="24" t="str">
        <f>IFERROR(__xludf.DUMMYFUNCTION("""COMPUTED_VALUE"""),"Joaçaba")</f>
        <v>Joaçaba</v>
      </c>
      <c r="D195" s="24" t="str">
        <f>IFERROR(__xludf.DUMMYFUNCTION("""COMPUTED_VALUE"""),"Unoesc")</f>
        <v>Unoesc</v>
      </c>
      <c r="E195" s="25">
        <f>IFERROR(__xludf.DUMMYFUNCTION("""COMPUTED_VALUE"""),2020.0)</f>
        <v>2020</v>
      </c>
      <c r="F195" s="24" t="str">
        <f>IFERROR(__xludf.DUMMYFUNCTION("""COMPUTED_VALUE"""),"Direitos humanos Educação Cidadania")</f>
        <v>Direitos humanos Educação Cidadania</v>
      </c>
      <c r="G195" s="28" t="str">
        <f>IFERROR(__xludf.DUMMYFUNCTION("""COMPUTED_VALUE"""),"9786586158151")</f>
        <v>9786586158151</v>
      </c>
      <c r="H195" s="29" t="str">
        <f>IFERROR(__xludf.DUMMYFUNCTION("""COMPUTED_VALUE"""),"https://www.unoesc.edu.br/images/uploads/editora/Miolo_-_Educação_em_direito.pdf")</f>
        <v>https://www.unoesc.edu.br/images/uploads/editora/Miolo_-_Educação_em_direito.pdf</v>
      </c>
      <c r="I195" s="24" t="str">
        <f>IFERROR(__xludf.DUMMYFUNCTION("""COMPUTED_VALUE"""),"Ciências Sociais Aplicadas")</f>
        <v>Ciências Sociais Aplicadas</v>
      </c>
    </row>
    <row r="196">
      <c r="A196" s="24" t="str">
        <f>IFERROR(__xludf.DUMMYFUNCTION("""COMPUTED_VALUE"""),"Educação fiscal e cidadania: reflexões da prática educativa")</f>
        <v>Educação fiscal e cidadania: reflexões da prática educativa</v>
      </c>
      <c r="B196" s="24" t="str">
        <f>IFERROR(__xludf.DUMMYFUNCTION("""COMPUTED_VALUE"""),"Chieza, Rosa Angela; Duarte, Maria Regina Paiva; De Cesare, Cláudia Monteiro ")</f>
        <v>Chieza, Rosa Angela; Duarte, Maria Regina Paiva; De Cesare, Cláudia Monteiro </v>
      </c>
      <c r="C196" s="24" t="str">
        <f>IFERROR(__xludf.DUMMYFUNCTION("""COMPUTED_VALUE"""),"Porto Alegre")</f>
        <v>Porto Alegre</v>
      </c>
      <c r="D196" s="24" t="str">
        <f>IFERROR(__xludf.DUMMYFUNCTION("""COMPUTED_VALUE"""),"UFRGS")</f>
        <v>UFRGS</v>
      </c>
      <c r="E196" s="25">
        <f>IFERROR(__xludf.DUMMYFUNCTION("""COMPUTED_VALUE"""),2018.0)</f>
        <v>2018</v>
      </c>
      <c r="F196" s="24" t="str">
        <f>IFERROR(__xludf.DUMMYFUNCTION("""COMPUTED_VALUE"""),"Administração financeira; Administração pública; Educação financeira; Finanças públicas; Sistema tributário")</f>
        <v>Administração financeira; Administração pública; Educação financeira; Finanças públicas; Sistema tributário</v>
      </c>
      <c r="G196" s="28" t="str">
        <f>IFERROR(__xludf.DUMMYFUNCTION("""COMPUTED_VALUE"""),"9788538604778")</f>
        <v>9788538604778</v>
      </c>
      <c r="H196" s="29" t="str">
        <f>IFERROR(__xludf.DUMMYFUNCTION("""COMPUTED_VALUE"""),"http://hdl.handle.net/10183/197178")</f>
        <v>http://hdl.handle.net/10183/197178</v>
      </c>
      <c r="I196" s="24" t="str">
        <f>IFERROR(__xludf.DUMMYFUNCTION("""COMPUTED_VALUE"""),"Ciências Sociais Aplicadas")</f>
        <v>Ciências Sociais Aplicadas</v>
      </c>
    </row>
    <row r="197">
      <c r="A197" s="24" t="str">
        <f>IFERROR(__xludf.DUMMYFUNCTION("""COMPUTED_VALUE"""),"Eleições, Política e Gestão Pública")</f>
        <v>Eleições, Política e Gestão Pública</v>
      </c>
      <c r="B197" s="24" t="str">
        <f>IFERROR(__xludf.DUMMYFUNCTION("""COMPUTED_VALUE"""),"Dimitre Braga Soares de Carvalho; Luciano do Nascimento Silva; Rodrigo Costa Ferreira (org.)")</f>
        <v>Dimitre Braga Soares de Carvalho; Luciano do Nascimento Silva; Rodrigo Costa Ferreira (org.)</v>
      </c>
      <c r="C197" s="24" t="str">
        <f>IFERROR(__xludf.DUMMYFUNCTION("""COMPUTED_VALUE"""),"Campina Grande")</f>
        <v>Campina Grande</v>
      </c>
      <c r="D197" s="24" t="str">
        <f>IFERROR(__xludf.DUMMYFUNCTION("""COMPUTED_VALUE"""),"EDUEPB")</f>
        <v>EDUEPB</v>
      </c>
      <c r="E197" s="25">
        <f>IFERROR(__xludf.DUMMYFUNCTION("""COMPUTED_VALUE"""),2018.0)</f>
        <v>2018</v>
      </c>
      <c r="F197" s="24" t="str">
        <f>IFERROR(__xludf.DUMMYFUNCTION("""COMPUTED_VALUE"""),"Política. Eleições. Corrupção. Propaganda eleitoral")</f>
        <v>Política. Eleições. Corrupção. Propaganda eleitoral</v>
      </c>
      <c r="G197" s="28" t="str">
        <f>IFERROR(__xludf.DUMMYFUNCTION("""COMPUTED_VALUE"""),"9788578795405")</f>
        <v>9788578795405</v>
      </c>
      <c r="H197" s="29" t="str">
        <f>IFERROR(__xludf.DUMMYFUNCTION("""COMPUTED_VALUE"""),"http://eduepb.uepb.edu.br/download/eleicoes-politica-e-gestao-publica/?wpdmdl=548&amp;amp;masterkey=5bf56e5c089fb")</f>
        <v>http://eduepb.uepb.edu.br/download/eleicoes-politica-e-gestao-publica/?wpdmdl=548&amp;amp;masterkey=5bf56e5c089fb</v>
      </c>
      <c r="I197" s="24" t="str">
        <f>IFERROR(__xludf.DUMMYFUNCTION("""COMPUTED_VALUE"""),"Ciências Sociais Aplicadas")</f>
        <v>Ciências Sociais Aplicadas</v>
      </c>
    </row>
    <row r="198">
      <c r="A198" s="24" t="str">
        <f>IFERROR(__xludf.DUMMYFUNCTION("""COMPUTED_VALUE"""),"Em Instantes: notas sobre programas na tv brasileira (1965-2000)")</f>
        <v>Em Instantes: notas sobre programas na tv brasileira (1965-2000)</v>
      </c>
      <c r="B198" s="24" t="str">
        <f>IFERROR(__xludf.DUMMYFUNCTION("""COMPUTED_VALUE"""),"Sandra Reimão (org.)")</f>
        <v>Sandra Reimão (org.)</v>
      </c>
      <c r="C198" s="24" t="str">
        <f>IFERROR(__xludf.DUMMYFUNCTION("""COMPUTED_VALUE"""),"São Bernardo do Campo, SP")</f>
        <v>São Bernardo do Campo, SP</v>
      </c>
      <c r="D198" s="24" t="str">
        <f>IFERROR(__xludf.DUMMYFUNCTION("""COMPUTED_VALUE"""),"UMESP")</f>
        <v>UMESP</v>
      </c>
      <c r="E198" s="25">
        <f>IFERROR(__xludf.DUMMYFUNCTION("""COMPUTED_VALUE"""),2006.0)</f>
        <v>2006</v>
      </c>
      <c r="F198" s="24" t="str">
        <f>IFERROR(__xludf.DUMMYFUNCTION("""COMPUTED_VALUE"""),"Televisão. Programação. História. Cultura e comunicação de massa")</f>
        <v>Televisão. Programação. História. Cultura e comunicação de massa</v>
      </c>
      <c r="G198" s="28" t="str">
        <f>IFERROR(__xludf.DUMMYFUNCTION("""COMPUTED_VALUE"""),"8587589628")</f>
        <v>8587589628</v>
      </c>
      <c r="H198" s="29" t="str">
        <f>IFERROR(__xludf.DUMMYFUNCTION("""COMPUTED_VALUE"""),"http://editora.metodista.br/livros-gratis/eminstantes.pdf/at_download/file")</f>
        <v>http://editora.metodista.br/livros-gratis/eminstantes.pdf/at_download/file</v>
      </c>
      <c r="I198" s="24" t="str">
        <f>IFERROR(__xludf.DUMMYFUNCTION("""COMPUTED_VALUE"""),"Ciências Sociais Aplicadas")</f>
        <v>Ciências Sociais Aplicadas</v>
      </c>
    </row>
    <row r="199">
      <c r="A199" s="24" t="str">
        <f>IFERROR(__xludf.DUMMYFUNCTION("""COMPUTED_VALUE"""),"Empresas instaladas em Entidades Supra-empresas com orientação estratégia dual — coleção olhares —")</f>
        <v>Empresas instaladas em Entidades Supra-empresas com orientação estratégia dual — coleção olhares —</v>
      </c>
      <c r="B199" s="24" t="str">
        <f>IFERROR(__xludf.DUMMYFUNCTION("""COMPUTED_VALUE"""),"Antônio Teodoro Ribeiro Guimarães")</f>
        <v>Antônio Teodoro Ribeiro Guimarães</v>
      </c>
      <c r="C199" s="24" t="str">
        <f>IFERROR(__xludf.DUMMYFUNCTION("""COMPUTED_VALUE"""),"Anápolis")</f>
        <v>Anápolis</v>
      </c>
      <c r="D199" s="24" t="str">
        <f>IFERROR(__xludf.DUMMYFUNCTION("""COMPUTED_VALUE"""),"UEG")</f>
        <v>UEG</v>
      </c>
      <c r="E199" s="25">
        <f>IFERROR(__xludf.DUMMYFUNCTION("""COMPUTED_VALUE"""),2010.0)</f>
        <v>2010</v>
      </c>
      <c r="F199" s="24" t="str">
        <f>IFERROR(__xludf.DUMMYFUNCTION("""COMPUTED_VALUE"""),"Administração de empresas; Organização comercial")</f>
        <v>Administração de empresas; Organização comercial</v>
      </c>
      <c r="G199" s="28" t="str">
        <f>IFERROR(__xludf.DUMMYFUNCTION("""COMPUTED_VALUE"""),"9788563192066")</f>
        <v>9788563192066</v>
      </c>
      <c r="H199" s="29" t="str">
        <f>IFERROR(__xludf.DUMMYFUNCTION("""COMPUTED_VALUE"""),"http://cdn.ueg.edu.br/source/editora_ueg/conteudoN/4946/pdf_colecao_olhares/livro02_antonio_teodoro.pdf")</f>
        <v>http://cdn.ueg.edu.br/source/editora_ueg/conteudoN/4946/pdf_colecao_olhares/livro02_antonio_teodoro.pdf</v>
      </c>
      <c r="I199" s="24" t="str">
        <f>IFERROR(__xludf.DUMMYFUNCTION("""COMPUTED_VALUE"""),"Ciências Sociais Aplicadas")</f>
        <v>Ciências Sociais Aplicadas</v>
      </c>
    </row>
    <row r="200">
      <c r="A200" s="24" t="str">
        <f>IFERROR(__xludf.DUMMYFUNCTION("""COMPUTED_VALUE"""),"Encontros e conexões em artes visuais (disponível temporariamente)")</f>
        <v>Encontros e conexões em artes visuais (disponível temporariamente)</v>
      </c>
      <c r="B200" s="24" t="str">
        <f>IFERROR(__xludf.DUMMYFUNCTION("""COMPUTED_VALUE"""),"Robson Xavier da Costa; Maria Betânia e Silva")</f>
        <v>Robson Xavier da Costa; Maria Betânia e Silva</v>
      </c>
      <c r="C200" s="24" t="str">
        <f>IFERROR(__xludf.DUMMYFUNCTION("""COMPUTED_VALUE"""),"João Pessoa")</f>
        <v>João Pessoa</v>
      </c>
      <c r="D200" s="24" t="str">
        <f>IFERROR(__xludf.DUMMYFUNCTION("""COMPUTED_VALUE"""),"Editora da UFPB")</f>
        <v>Editora da UFPB</v>
      </c>
      <c r="E200" s="25">
        <f>IFERROR(__xludf.DUMMYFUNCTION("""COMPUTED_VALUE"""),2018.0)</f>
        <v>2018</v>
      </c>
      <c r="F200" s="24" t="str">
        <f>IFERROR(__xludf.DUMMYFUNCTION("""COMPUTED_VALUE"""),"Artes visuais. Ensino. Práticas docentes – Artes visuais")</f>
        <v>Artes visuais. Ensino. Práticas docentes – Artes visuais</v>
      </c>
      <c r="G200" s="28" t="str">
        <f>IFERROR(__xludf.DUMMYFUNCTION("""COMPUTED_VALUE"""),"9788523713034")</f>
        <v>9788523713034</v>
      </c>
      <c r="H200" s="29" t="str">
        <f>IFERROR(__xludf.DUMMYFUNCTION("""COMPUTED_VALUE"""),"http://www.editora.ufpb.br/sistema/press5/index.php/UFPB/catalog/book/302")</f>
        <v>http://www.editora.ufpb.br/sistema/press5/index.php/UFPB/catalog/book/302</v>
      </c>
      <c r="I200" s="24" t="str">
        <f>IFERROR(__xludf.DUMMYFUNCTION("""COMPUTED_VALUE"""),"Ciências Sociais Aplicadas")</f>
        <v>Ciências Sociais Aplicadas</v>
      </c>
    </row>
    <row r="201">
      <c r="A201" s="24" t="str">
        <f>IFERROR(__xludf.DUMMYFUNCTION("""COMPUTED_VALUE"""),"Energia, organizações e sociedade: um debate necessário")</f>
        <v>Energia, organizações e sociedade: um debate necessário</v>
      </c>
      <c r="B201" s="24" t="str">
        <f>IFERROR(__xludf.DUMMYFUNCTION("""COMPUTED_VALUE"""),"Luiz Alex Silva Saraiva e Adriana Vinholi Rampazo")</f>
        <v>Luiz Alex Silva Saraiva e Adriana Vinholi Rampazo</v>
      </c>
      <c r="C201" s="24" t="str">
        <f>IFERROR(__xludf.DUMMYFUNCTION("""COMPUTED_VALUE"""),"Recife")</f>
        <v>Recife</v>
      </c>
      <c r="D201" s="24" t="str">
        <f>IFERROR(__xludf.DUMMYFUNCTION("""COMPUTED_VALUE"""),"Fundação Joaquim Nabuco / Editora Massangana")</f>
        <v>Fundação Joaquim Nabuco / Editora Massangana</v>
      </c>
      <c r="E201" s="25">
        <f>IFERROR(__xludf.DUMMYFUNCTION("""COMPUTED_VALUE"""),2017.0)</f>
        <v>2017</v>
      </c>
      <c r="F201" s="24" t="str">
        <f>IFERROR(__xludf.DUMMYFUNCTION("""COMPUTED_VALUE"""),"Energia; Organizaçõs; Sociedade")</f>
        <v>Energia; Organizaçõs; Sociedade</v>
      </c>
      <c r="G201" s="28" t="str">
        <f>IFERROR(__xludf.DUMMYFUNCTION("""COMPUTED_VALUE"""),"9788570196675")</f>
        <v>9788570196675</v>
      </c>
      <c r="H201" s="29" t="str">
        <f>IFERROR(__xludf.DUMMYFUNCTION("""COMPUTED_VALUE"""),"https://www.fundaj.gov.br/images/stories/editora/livros/livro_energia.pdf")</f>
        <v>https://www.fundaj.gov.br/images/stories/editora/livros/livro_energia.pdf</v>
      </c>
      <c r="I201" s="24" t="str">
        <f>IFERROR(__xludf.DUMMYFUNCTION("""COMPUTED_VALUE"""),"Ciências Sociais Aplicadas")</f>
        <v>Ciências Sociais Aplicadas</v>
      </c>
    </row>
    <row r="202">
      <c r="A202" s="24" t="str">
        <f>IFERROR(__xludf.DUMMYFUNCTION("""COMPUTED_VALUE"""),"Enfoques multidisciplinares da Gestão do Conhecimento (disponível temporariamente)")</f>
        <v>Enfoques multidisciplinares da Gestão do Conhecimento (disponível temporariamente)</v>
      </c>
      <c r="B202" s="24" t="str">
        <f>IFERROR(__xludf.DUMMYFUNCTION("""COMPUTED_VALUE"""),"Emeide Nóbrega Duarte, Alzira Karla Araújo da Silva Miguel Ángel Esteban Navarro, Rosilene Agapito da Silva Llarena, Suzana de Lucena Lira, Rayan Aramís de Brito Feitoza, Organizadores")</f>
        <v>Emeide Nóbrega Duarte, Alzira Karla Araújo da Silva Miguel Ángel Esteban Navarro, Rosilene Agapito da Silva Llarena, Suzana de Lucena Lira, Rayan Aramís de Brito Feitoza, Organizadores</v>
      </c>
      <c r="C202" s="24" t="str">
        <f>IFERROR(__xludf.DUMMYFUNCTION("""COMPUTED_VALUE"""),"João Pessoa")</f>
        <v>João Pessoa</v>
      </c>
      <c r="D202" s="24" t="str">
        <f>IFERROR(__xludf.DUMMYFUNCTION("""COMPUTED_VALUE"""),"Editora da UFPB")</f>
        <v>Editora da UFPB</v>
      </c>
      <c r="E202" s="25">
        <f>IFERROR(__xludf.DUMMYFUNCTION("""COMPUTED_VALUE"""),2019.0)</f>
        <v>2019</v>
      </c>
      <c r="F202" s="24" t="str">
        <f>IFERROR(__xludf.DUMMYFUNCTION("""COMPUTED_VALUE"""),"Gestão do conhecimeto; Processos de comunicação; Produção científica; Gestão da informação")</f>
        <v>Gestão do conhecimeto; Processos de comunicação; Produção científica; Gestão da informação</v>
      </c>
      <c r="G202" s="28" t="str">
        <f>IFERROR(__xludf.DUMMYFUNCTION("""COMPUTED_VALUE"""),"9788523714208")</f>
        <v>9788523714208</v>
      </c>
      <c r="H202" s="29" t="str">
        <f>IFERROR(__xludf.DUMMYFUNCTION("""COMPUTED_VALUE"""),"http://www.editora.ufpb.br/sistema/press5/index.php/UFPB/catalog/book/352")</f>
        <v>http://www.editora.ufpb.br/sistema/press5/index.php/UFPB/catalog/book/352</v>
      </c>
      <c r="I202" s="24" t="str">
        <f>IFERROR(__xludf.DUMMYFUNCTION("""COMPUTED_VALUE"""),"Ciências Sociais Aplicadas")</f>
        <v>Ciências Sociais Aplicadas</v>
      </c>
    </row>
    <row r="203">
      <c r="A203" s="24" t="str">
        <f>IFERROR(__xludf.DUMMYFUNCTION("""COMPUTED_VALUE"""),"Ensaios e caminhos para direitos fundamentais e segurança social")</f>
        <v>Ensaios e caminhos para direitos fundamentais e segurança social</v>
      </c>
      <c r="B203" s="24" t="str">
        <f>IFERROR(__xludf.DUMMYFUNCTION("""COMPUTED_VALUE"""),"Carlos Luiz Strapazzon e Esthevam Lermen Eidt")</f>
        <v>Carlos Luiz Strapazzon e Esthevam Lermen Eidt</v>
      </c>
      <c r="C203" s="24" t="str">
        <f>IFERROR(__xludf.DUMMYFUNCTION("""COMPUTED_VALUE"""),"Joaçaba")</f>
        <v>Joaçaba</v>
      </c>
      <c r="D203" s="24" t="str">
        <f>IFERROR(__xludf.DUMMYFUNCTION("""COMPUTED_VALUE"""),"Unoesc")</f>
        <v>Unoesc</v>
      </c>
      <c r="E203" s="25">
        <f>IFERROR(__xludf.DUMMYFUNCTION("""COMPUTED_VALUE"""),2018.0)</f>
        <v>2018</v>
      </c>
      <c r="F203" s="24" t="str">
        <f>IFERROR(__xludf.DUMMYFUNCTION("""COMPUTED_VALUE"""),"Direitos fundamentais,; Segurança social")</f>
        <v>Direitos fundamentais,; Segurança social</v>
      </c>
      <c r="G203" s="28" t="str">
        <f>IFERROR(__xludf.DUMMYFUNCTION("""COMPUTED_VALUE"""),"9788584221837")</f>
        <v>9788584221837</v>
      </c>
      <c r="H203" s="29" t="str">
        <f>IFERROR(__xludf.DUMMYFUNCTION("""COMPUTED_VALUE"""),"https://www.unoesc.edu.br/images/uploads/editora/Ensaios_e_caminhos_para_direitos_fundamentais_e_seguran%c3%a7a_social.pdf")</f>
        <v>https://www.unoesc.edu.br/images/uploads/editora/Ensaios_e_caminhos_para_direitos_fundamentais_e_seguran%c3%a7a_social.pdf</v>
      </c>
      <c r="I203" s="24" t="str">
        <f>IFERROR(__xludf.DUMMYFUNCTION("""COMPUTED_VALUE"""),"Ciências Sociais Aplicadas")</f>
        <v>Ciências Sociais Aplicadas</v>
      </c>
    </row>
    <row r="204">
      <c r="A204" s="24" t="str">
        <f>IFERROR(__xludf.DUMMYFUNCTION("""COMPUTED_VALUE"""),"Ensaios jurídicos")</f>
        <v>Ensaios jurídicos</v>
      </c>
      <c r="B204" s="24" t="str">
        <f>IFERROR(__xludf.DUMMYFUNCTION("""COMPUTED_VALUE"""),"Francisco Pereira Costa")</f>
        <v>Francisco Pereira Costa</v>
      </c>
      <c r="C204" s="24" t="str">
        <f>IFERROR(__xludf.DUMMYFUNCTION("""COMPUTED_VALUE"""),"Rio Branco")</f>
        <v>Rio Branco</v>
      </c>
      <c r="D204" s="24" t="str">
        <f>IFERROR(__xludf.DUMMYFUNCTION("""COMPUTED_VALUE"""),"Edufac")</f>
        <v>Edufac</v>
      </c>
      <c r="E204" s="25">
        <f>IFERROR(__xludf.DUMMYFUNCTION("""COMPUTED_VALUE"""),2017.0)</f>
        <v>2017</v>
      </c>
      <c r="F204" s="24" t="str">
        <f>IFERROR(__xludf.DUMMYFUNCTION("""COMPUTED_VALUE"""),"Direito; Direitos humanos; Direito - história")</f>
        <v>Direito; Direitos humanos; Direito - história</v>
      </c>
      <c r="G204" s="28" t="str">
        <f>IFERROR(__xludf.DUMMYFUNCTION("""COMPUTED_VALUE"""),"9788582360422")</f>
        <v>9788582360422</v>
      </c>
      <c r="H204" s="29" t="str">
        <f>IFERROR(__xludf.DUMMYFUNCTION("""COMPUTED_VALUE"""),"http://www2.ufac.br/editora/livros/ensaios-juridicos.pdf")</f>
        <v>http://www2.ufac.br/editora/livros/ensaios-juridicos.pdf</v>
      </c>
      <c r="I204" s="24" t="str">
        <f>IFERROR(__xludf.DUMMYFUNCTION("""COMPUTED_VALUE"""),"Ciências Sociais Aplicadas")</f>
        <v>Ciências Sociais Aplicadas</v>
      </c>
    </row>
    <row r="205">
      <c r="A205" s="24" t="str">
        <f>IFERROR(__xludf.DUMMYFUNCTION("""COMPUTED_VALUE"""),"Ensaios sobre a constitucionalização dos direitos fundamentais civis (Volume 2)")</f>
        <v>Ensaios sobre a constitucionalização dos direitos fundamentais civis (Volume 2)</v>
      </c>
      <c r="B205" s="24" t="str">
        <f>IFERROR(__xludf.DUMMYFUNCTION("""COMPUTED_VALUE"""),"Riva Sobrado de Freitas e Danielle Jacon Ayres Pinto")</f>
        <v>Riva Sobrado de Freitas e Danielle Jacon Ayres Pinto</v>
      </c>
      <c r="C205" s="24" t="str">
        <f>IFERROR(__xludf.DUMMYFUNCTION("""COMPUTED_VALUE"""),"Joaçaba")</f>
        <v>Joaçaba</v>
      </c>
      <c r="D205" s="24" t="str">
        <f>IFERROR(__xludf.DUMMYFUNCTION("""COMPUTED_VALUE"""),"Unoesc")</f>
        <v>Unoesc</v>
      </c>
      <c r="E205" s="25">
        <f>IFERROR(__xludf.DUMMYFUNCTION("""COMPUTED_VALUE"""),2019.0)</f>
        <v>2019</v>
      </c>
      <c r="F205" s="24" t="str">
        <f>IFERROR(__xludf.DUMMYFUNCTION("""COMPUTED_VALUE"""),"Direitos fundamentais, Constitucionalidade")</f>
        <v>Direitos fundamentais, Constitucionalidade</v>
      </c>
      <c r="G205" s="28" t="str">
        <f>IFERROR(__xludf.DUMMYFUNCTION("""COMPUTED_VALUE"""),"9788584222063")</f>
        <v>9788584222063</v>
      </c>
      <c r="H205" s="29" t="str">
        <f>IFERROR(__xludf.DUMMYFUNCTION("""COMPUTED_VALUE"""),"https://www.unoesc.edu.br/images/uploads/editora/Miolo_-_Riva_Freitas_-_Ensaios_sobre_a_Constitucionaliza%c3%a7%c3%a3o.pdf")</f>
        <v>https://www.unoesc.edu.br/images/uploads/editora/Miolo_-_Riva_Freitas_-_Ensaios_sobre_a_Constitucionaliza%c3%a7%c3%a3o.pdf</v>
      </c>
      <c r="I205" s="24" t="str">
        <f>IFERROR(__xludf.DUMMYFUNCTION("""COMPUTED_VALUE"""),"Ciências Sociais Aplicadas")</f>
        <v>Ciências Sociais Aplicadas</v>
      </c>
    </row>
    <row r="206">
      <c r="A206" s="24" t="str">
        <f>IFERROR(__xludf.DUMMYFUNCTION("""COMPUTED_VALUE"""),"Ensaios sobre a economia Sul Catarinense : volume III")</f>
        <v>Ensaios sobre a economia Sul Catarinense : volume III</v>
      </c>
      <c r="B206" s="24" t="str">
        <f>IFERROR(__xludf.DUMMYFUNCTION("""COMPUTED_VALUE"""),"Estevam, Dimas de Oliveira; Fabris, Thiago Rocha")</f>
        <v>Estevam, Dimas de Oliveira; Fabris, Thiago Rocha</v>
      </c>
      <c r="C206" s="24" t="str">
        <f>IFERROR(__xludf.DUMMYFUNCTION("""COMPUTED_VALUE"""),"Criciúma")</f>
        <v>Criciúma</v>
      </c>
      <c r="D206" s="24" t="str">
        <f>IFERROR(__xludf.DUMMYFUNCTION("""COMPUTED_VALUE"""),"Unesc")</f>
        <v>Unesc</v>
      </c>
      <c r="E206" s="25">
        <f>IFERROR(__xludf.DUMMYFUNCTION("""COMPUTED_VALUE"""),2017.0)</f>
        <v>2017</v>
      </c>
      <c r="F206" s="24" t="str">
        <f>IFERROR(__xludf.DUMMYFUNCTION("""COMPUTED_VALUE"""),"Economia – Santa Catarina, Região Sul; Desenvolvimento econômico – Santa Catarina, Região Sul")</f>
        <v>Economia – Santa Catarina, Região Sul; Desenvolvimento econômico – Santa Catarina, Região Sul</v>
      </c>
      <c r="G206" s="28" t="str">
        <f>IFERROR(__xludf.DUMMYFUNCTION("""COMPUTED_VALUE"""),"9788584100705")</f>
        <v>9788584100705</v>
      </c>
      <c r="H206" s="29" t="str">
        <f>IFERROR(__xludf.DUMMYFUNCTION("""COMPUTED_VALUE"""),"http://repositorio.unesc.net/handle/1/5140")</f>
        <v>http://repositorio.unesc.net/handle/1/5140</v>
      </c>
      <c r="I206" s="24" t="str">
        <f>IFERROR(__xludf.DUMMYFUNCTION("""COMPUTED_VALUE"""),"Ciências Sociais Aplicadas")</f>
        <v>Ciências Sociais Aplicadas</v>
      </c>
    </row>
    <row r="207">
      <c r="A207" s="24" t="str">
        <f>IFERROR(__xludf.DUMMYFUNCTION("""COMPUTED_VALUE"""),"Ensino superior em Turismo e Hotelaria: reflexões sobre a docência e a pesquisa de qualidade ")</f>
        <v>Ensino superior em Turismo e Hotelaria: reflexões sobre a docência e a pesquisa de qualidade </v>
      </c>
      <c r="B207" s="24" t="str">
        <f>IFERROR(__xludf.DUMMYFUNCTION("""COMPUTED_VALUE"""),"Alexandre Shigunov Neto, Lizete Shizue Bomura Maciel (org.)")</f>
        <v>Alexandre Shigunov Neto, Lizete Shizue Bomura Maciel (org.)</v>
      </c>
      <c r="C207" s="24" t="str">
        <f>IFERROR(__xludf.DUMMYFUNCTION("""COMPUTED_VALUE"""),"Ilhéus, BA")</f>
        <v>Ilhéus, BA</v>
      </c>
      <c r="D207" s="24" t="str">
        <f>IFERROR(__xludf.DUMMYFUNCTION("""COMPUTED_VALUE"""),"Editus")</f>
        <v>Editus</v>
      </c>
      <c r="E207" s="25">
        <f>IFERROR(__xludf.DUMMYFUNCTION("""COMPUTED_VALUE"""),2006.0)</f>
        <v>2006</v>
      </c>
      <c r="F207" s="24" t="str">
        <f>IFERROR(__xludf.DUMMYFUNCTION("""COMPUTED_VALUE"""),"Turismo - Estudo e ensino; Turismo - Pesquisa; Educação superior - Pesquisa; Ensino superior - Metodologia")</f>
        <v>Turismo - Estudo e ensino; Turismo - Pesquisa; Educação superior - Pesquisa; Ensino superior - Metodologia</v>
      </c>
      <c r="G207" s="28" t="str">
        <f>IFERROR(__xludf.DUMMYFUNCTION("""COMPUTED_VALUE"""),"8574551074")</f>
        <v>8574551074</v>
      </c>
      <c r="H207" s="29" t="str">
        <f>IFERROR(__xludf.DUMMYFUNCTION("""COMPUTED_VALUE"""),"http://www.uesc.br/editora/livrosdigitais2016/ensino_superior_em_turismo_hotelaria.pdf")</f>
        <v>http://www.uesc.br/editora/livrosdigitais2016/ensino_superior_em_turismo_hotelaria.pdf</v>
      </c>
      <c r="I207" s="24" t="str">
        <f>IFERROR(__xludf.DUMMYFUNCTION("""COMPUTED_VALUE"""),"Ciências Sociais Aplicadas")</f>
        <v>Ciências Sociais Aplicadas</v>
      </c>
    </row>
    <row r="208">
      <c r="A208" s="24" t="str">
        <f>IFERROR(__xludf.DUMMYFUNCTION("""COMPUTED_VALUE"""),"Entre a Diplomacia Ambiental e a Intervenção Humanitária")</f>
        <v>Entre a Diplomacia Ambiental e a Intervenção Humanitária</v>
      </c>
      <c r="B208" s="24" t="str">
        <f>IFERROR(__xludf.DUMMYFUNCTION("""COMPUTED_VALUE"""),"Valéria Fernandes Pereira")</f>
        <v>Valéria Fernandes Pereira</v>
      </c>
      <c r="C208" s="24" t="str">
        <f>IFERROR(__xludf.DUMMYFUNCTION("""COMPUTED_VALUE"""),"Campina Grande")</f>
        <v>Campina Grande</v>
      </c>
      <c r="D208" s="24" t="str">
        <f>IFERROR(__xludf.DUMMYFUNCTION("""COMPUTED_VALUE"""),"EDUEPB")</f>
        <v>EDUEPB</v>
      </c>
      <c r="E208" s="25">
        <f>IFERROR(__xludf.DUMMYFUNCTION("""COMPUTED_VALUE"""),2018.0)</f>
        <v>2018</v>
      </c>
      <c r="F208" s="24" t="str">
        <f>IFERROR(__xludf.DUMMYFUNCTION("""COMPUTED_VALUE"""),"Direito internacional humanitário. Desastres ambientais. Planos econômicos. Direito internacional. Direitos humanos")</f>
        <v>Direito internacional humanitário. Desastres ambientais. Planos econômicos. Direito internacional. Direitos humanos</v>
      </c>
      <c r="G208" s="28" t="str">
        <f>IFERROR(__xludf.DUMMYFUNCTION("""COMPUTED_VALUE"""),"9788578794231")</f>
        <v>9788578794231</v>
      </c>
      <c r="H208" s="29" t="str">
        <f>IFERROR(__xludf.DUMMYFUNCTION("""COMPUTED_VALUE"""),"http://eduepb.uepb.edu.br/download/entre-a-diplomacia-ambiental-e-a-intervencao-humanitaria/?wpdmdl=444&amp;amp;masterkey=5b61ac5c2f8d6")</f>
        <v>http://eduepb.uepb.edu.br/download/entre-a-diplomacia-ambiental-e-a-intervencao-humanitaria/?wpdmdl=444&amp;amp;masterkey=5b61ac5c2f8d6</v>
      </c>
      <c r="I208" s="24" t="str">
        <f>IFERROR(__xludf.DUMMYFUNCTION("""COMPUTED_VALUE"""),"Ciências Sociais Aplicadas")</f>
        <v>Ciências Sociais Aplicadas</v>
      </c>
    </row>
    <row r="209">
      <c r="A209" s="24" t="str">
        <f>IFERROR(__xludf.DUMMYFUNCTION("""COMPUTED_VALUE"""),"Entre Comunicações e mediações: visões teóricas e empíricas")</f>
        <v>Entre Comunicações e mediações: visões teóricas e empíricas</v>
      </c>
      <c r="B209" s="24" t="str">
        <f>IFERROR(__xludf.DUMMYFUNCTION("""COMPUTED_VALUE"""),"Eneus Trindade; Juciano de Sousa Lacerda; Mário Luiz Fernandes (org.)")</f>
        <v>Eneus Trindade; Juciano de Sousa Lacerda; Mário Luiz Fernandes (org.)</v>
      </c>
      <c r="C209" s="24" t="str">
        <f>IFERROR(__xludf.DUMMYFUNCTION("""COMPUTED_VALUE"""),"Campina Grande")</f>
        <v>Campina Grande</v>
      </c>
      <c r="D209" s="24" t="str">
        <f>IFERROR(__xludf.DUMMYFUNCTION("""COMPUTED_VALUE"""),"EDUEPB")</f>
        <v>EDUEPB</v>
      </c>
      <c r="E209" s="25">
        <f>IFERROR(__xludf.DUMMYFUNCTION("""COMPUTED_VALUE"""),2019.0)</f>
        <v>2019</v>
      </c>
      <c r="F209" s="24" t="str">
        <f>IFERROR(__xludf.DUMMYFUNCTION("""COMPUTED_VALUE"""),"Comunicação. Teoria da comunicação. Meios de comunicação")</f>
        <v>Comunicação. Teoria da comunicação. Meios de comunicação</v>
      </c>
      <c r="G209" s="28" t="str">
        <f>IFERROR(__xludf.DUMMYFUNCTION("""COMPUTED_VALUE"""),"9788578795689")</f>
        <v>9788578795689</v>
      </c>
      <c r="H209" s="29" t="str">
        <f>IFERROR(__xludf.DUMMYFUNCTION("""COMPUTED_VALUE"""),"http://eduepb.uepb.edu.br/download/entre-comunicacoes/?wpdmdl=797&amp;#038;masterkey=5d557751e01d1")</f>
        <v>http://eduepb.uepb.edu.br/download/entre-comunicacoes/?wpdmdl=797&amp;#038;masterkey=5d557751e01d1</v>
      </c>
      <c r="I209" s="24" t="str">
        <f>IFERROR(__xludf.DUMMYFUNCTION("""COMPUTED_VALUE"""),"Ciências Sociais Aplicadas")</f>
        <v>Ciências Sociais Aplicadas</v>
      </c>
    </row>
    <row r="210">
      <c r="A210" s="24" t="str">
        <f>IFERROR(__xludf.DUMMYFUNCTION("""COMPUTED_VALUE"""),"Entre mudanças e permanências: os jornais impressos soteropolitanos e suas coberturas eleitorais no século XX")</f>
        <v>Entre mudanças e permanências: os jornais impressos soteropolitanos e suas coberturas eleitorais no século XX</v>
      </c>
      <c r="B210" s="24" t="str">
        <f>IFERROR(__xludf.DUMMYFUNCTION("""COMPUTED_VALUE"""),"Ana Cristina Menegotto Spannenberg")</f>
        <v>Ana Cristina Menegotto Spannenberg</v>
      </c>
      <c r="C210" s="24" t="str">
        <f>IFERROR(__xludf.DUMMYFUNCTION("""COMPUTED_VALUE"""),"Salvador")</f>
        <v>Salvador</v>
      </c>
      <c r="D210" s="24" t="str">
        <f>IFERROR(__xludf.DUMMYFUNCTION("""COMPUTED_VALUE"""),"EDUFBA")</f>
        <v>EDUFBA</v>
      </c>
      <c r="E210" s="25">
        <f>IFERROR(__xludf.DUMMYFUNCTION("""COMPUTED_VALUE"""),2015.0)</f>
        <v>2015</v>
      </c>
      <c r="F210" s="24" t="str">
        <f>IFERROR(__xludf.DUMMYFUNCTION("""COMPUTED_VALUE"""),"Jornais; Eleições; Cobertura jornalística; Jornalismo; Aspectos políticos")</f>
        <v>Jornais; Eleições; Cobertura jornalística; Jornalismo; Aspectos políticos</v>
      </c>
      <c r="G210" s="28" t="str">
        <f>IFERROR(__xludf.DUMMYFUNCTION("""COMPUTED_VALUE"""),"9788523213299")</f>
        <v>9788523213299</v>
      </c>
      <c r="H210" s="29" t="str">
        <f>IFERROR(__xludf.DUMMYFUNCTION("""COMPUTED_VALUE"""),"	http://repositorio.ufba.br/ri/handle/ri/17158")</f>
        <v>	http://repositorio.ufba.br/ri/handle/ri/17158</v>
      </c>
      <c r="I210" s="24" t="str">
        <f>IFERROR(__xludf.DUMMYFUNCTION("""COMPUTED_VALUE"""),"Ciências Sociais Aplicadas")</f>
        <v>Ciências Sociais Aplicadas</v>
      </c>
    </row>
    <row r="211">
      <c r="A211" s="24" t="str">
        <f>IFERROR(__xludf.DUMMYFUNCTION("""COMPUTED_VALUE"""),"Escritos sobre Direitos Fundamentais")</f>
        <v>Escritos sobre Direitos Fundamentais</v>
      </c>
      <c r="B211" s="24" t="str">
        <f>IFERROR(__xludf.DUMMYFUNCTION("""COMPUTED_VALUE"""),"Wilson Steinmet")</f>
        <v>Wilson Steinmet</v>
      </c>
      <c r="C211" s="24" t="str">
        <f>IFERROR(__xludf.DUMMYFUNCTION("""COMPUTED_VALUE"""),"Joaçaba")</f>
        <v>Joaçaba</v>
      </c>
      <c r="D211" s="24" t="str">
        <f>IFERROR(__xludf.DUMMYFUNCTION("""COMPUTED_VALUE"""),"Unoesc")</f>
        <v>Unoesc</v>
      </c>
      <c r="E211" s="25">
        <f>IFERROR(__xludf.DUMMYFUNCTION("""COMPUTED_VALUE"""),2017.0)</f>
        <v>2017</v>
      </c>
      <c r="F211" s="24" t="str">
        <f>IFERROR(__xludf.DUMMYFUNCTION("""COMPUTED_VALUE"""),"Direitos fundamentai")</f>
        <v>Direitos fundamentai</v>
      </c>
      <c r="G211" s="28" t="str">
        <f>IFERROR(__xludf.DUMMYFUNCTION("""COMPUTED_VALUE"""),"9788584221530")</f>
        <v>9788584221530</v>
      </c>
      <c r="H211" s="29" t="str">
        <f>IFERROR(__xludf.DUMMYFUNCTION("""COMPUTED_VALUE"""),"https://www.unoesc.edu.br/images/uploads/editora/escritos_sobre_direitos_fundamentais.pdf")</f>
        <v>https://www.unoesc.edu.br/images/uploads/editora/escritos_sobre_direitos_fundamentais.pdf</v>
      </c>
      <c r="I211" s="24" t="str">
        <f>IFERROR(__xludf.DUMMYFUNCTION("""COMPUTED_VALUE"""),"Ciências Sociais Aplicadas")</f>
        <v>Ciências Sociais Aplicadas</v>
      </c>
    </row>
    <row r="212">
      <c r="A212" s="24" t="str">
        <f>IFERROR(__xludf.DUMMYFUNCTION("""COMPUTED_VALUE"""),"Escritos sobre Direitos Fundamentais (II)")</f>
        <v>Escritos sobre Direitos Fundamentais (II)</v>
      </c>
      <c r="B212" s="24" t="str">
        <f>IFERROR(__xludf.DUMMYFUNCTION("""COMPUTED_VALUE"""),"Wilson Steinmetz, Vinícius Almada Mozetic, Michel Ferrari Borges dos Santos")</f>
        <v>Wilson Steinmetz, Vinícius Almada Mozetic, Michel Ferrari Borges dos Santos</v>
      </c>
      <c r="C212" s="24" t="str">
        <f>IFERROR(__xludf.DUMMYFUNCTION("""COMPUTED_VALUE"""),"Joaçaba")</f>
        <v>Joaçaba</v>
      </c>
      <c r="D212" s="24" t="str">
        <f>IFERROR(__xludf.DUMMYFUNCTION("""COMPUTED_VALUE"""),"Unoesc")</f>
        <v>Unoesc</v>
      </c>
      <c r="E212" s="25">
        <f>IFERROR(__xludf.DUMMYFUNCTION("""COMPUTED_VALUE"""),2019.0)</f>
        <v>2019</v>
      </c>
      <c r="F212" s="24" t="str">
        <f>IFERROR(__xludf.DUMMYFUNCTION("""COMPUTED_VALUE"""),"Direitos fundamentais, Direitos civis")</f>
        <v>Direitos fundamentais, Direitos civis</v>
      </c>
      <c r="G212" s="28" t="str">
        <f>IFERROR(__xludf.DUMMYFUNCTION("""COMPUTED_VALUE"""),"9788584222124")</f>
        <v>9788584222124</v>
      </c>
      <c r="H212" s="29" t="str">
        <f>IFERROR(__xludf.DUMMYFUNCTION("""COMPUTED_VALUE"""),"https://www.unoesc.edu.br/images/uploads/editora/Miolo_Escritos_sobre_Direitos_Fundamentais_II.pdf")</f>
        <v>https://www.unoesc.edu.br/images/uploads/editora/Miolo_Escritos_sobre_Direitos_Fundamentais_II.pdf</v>
      </c>
      <c r="I212" s="24" t="str">
        <f>IFERROR(__xludf.DUMMYFUNCTION("""COMPUTED_VALUE"""),"Ciências Sociais Aplicadas")</f>
        <v>Ciências Sociais Aplicadas</v>
      </c>
    </row>
    <row r="213">
      <c r="A213" s="24" t="str">
        <f>IFERROR(__xludf.DUMMYFUNCTION("""COMPUTED_VALUE"""),"Espaço público e subjetividades: autonomia privada, direitos da personalidade, vida privada e direito à própria imagem")</f>
        <v>Espaço público e subjetividades: autonomia privada, direitos da personalidade, vida privada e direito à própria imagem</v>
      </c>
      <c r="B213" s="24" t="str">
        <f>IFERROR(__xludf.DUMMYFUNCTION("""COMPUTED_VALUE"""),"Marco Aurélio Rodrigues da Cunha e Cruz, Matheus Felipe de Castro")</f>
        <v>Marco Aurélio Rodrigues da Cunha e Cruz, Matheus Felipe de Castro</v>
      </c>
      <c r="C213" s="24" t="str">
        <f>IFERROR(__xludf.DUMMYFUNCTION("""COMPUTED_VALUE"""),"Joaçaba")</f>
        <v>Joaçaba</v>
      </c>
      <c r="D213" s="24" t="str">
        <f>IFERROR(__xludf.DUMMYFUNCTION("""COMPUTED_VALUE"""),"Unoesc")</f>
        <v>Unoesc</v>
      </c>
      <c r="E213" s="25">
        <f>IFERROR(__xludf.DUMMYFUNCTION("""COMPUTED_VALUE"""),2018.0)</f>
        <v>2018</v>
      </c>
      <c r="F213" s="24" t="str">
        <f>IFERROR(__xludf.DUMMYFUNCTION("""COMPUTED_VALUE"""),"Direitos fundamentais")</f>
        <v>Direitos fundamentais</v>
      </c>
      <c r="G213" s="28" t="str">
        <f>IFERROR(__xludf.DUMMYFUNCTION("""COMPUTED_VALUE"""),"9788584221875")</f>
        <v>9788584221875</v>
      </c>
      <c r="H213" s="29" t="str">
        <f>IFERROR(__xludf.DUMMYFUNCTION("""COMPUTED_VALUE"""),"https://www.unoesc.edu.br/images/uploads/editora/Miolo_Espa%c3%a7o_p%c3%bablico_e_subjetividades.pdf")</f>
        <v>https://www.unoesc.edu.br/images/uploads/editora/Miolo_Espa%c3%a7o_p%c3%bablico_e_subjetividades.pdf</v>
      </c>
      <c r="I213" s="24" t="str">
        <f>IFERROR(__xludf.DUMMYFUNCTION("""COMPUTED_VALUE"""),"Ciências Sociais Aplicadas")</f>
        <v>Ciências Sociais Aplicadas</v>
      </c>
    </row>
    <row r="214">
      <c r="A214" s="24" t="str">
        <f>IFERROR(__xludf.DUMMYFUNCTION("""COMPUTED_VALUE"""),"Espaço público e subjetividades: entre direito e literatura")</f>
        <v>Espaço público e subjetividades: entre direito e literatura</v>
      </c>
      <c r="B214" s="24" t="str">
        <f>IFERROR(__xludf.DUMMYFUNCTION("""COMPUTED_VALUE"""),"Marco Aurélio Rodrigues da Cunha e Cruz, Matheus Felipe de Castro")</f>
        <v>Marco Aurélio Rodrigues da Cunha e Cruz, Matheus Felipe de Castro</v>
      </c>
      <c r="C214" s="24" t="str">
        <f>IFERROR(__xludf.DUMMYFUNCTION("""COMPUTED_VALUE"""),"Joaçaba")</f>
        <v>Joaçaba</v>
      </c>
      <c r="D214" s="24" t="str">
        <f>IFERROR(__xludf.DUMMYFUNCTION("""COMPUTED_VALUE"""),"Unoesc")</f>
        <v>Unoesc</v>
      </c>
      <c r="E214" s="25">
        <f>IFERROR(__xludf.DUMMYFUNCTION("""COMPUTED_VALUE"""),2019.0)</f>
        <v>2019</v>
      </c>
      <c r="F214" s="24" t="str">
        <f>IFERROR(__xludf.DUMMYFUNCTION("""COMPUTED_VALUE"""),"Espaços públicos, Subjetividade, Democracia")</f>
        <v>Espaços públicos, Subjetividade, Democracia</v>
      </c>
      <c r="G214" s="28" t="str">
        <f>IFERROR(__xludf.DUMMYFUNCTION("""COMPUTED_VALUE"""),"9788584222193")</f>
        <v>9788584222193</v>
      </c>
      <c r="H214" s="29" t="str">
        <f>IFERROR(__xludf.DUMMYFUNCTION("""COMPUTED_VALUE"""),"https://www.unoesc.edu.br/images/uploads/editora/Miolo_Espaço_público_e_subjetiv..pdf")</f>
        <v>https://www.unoesc.edu.br/images/uploads/editora/Miolo_Espaço_público_e_subjetiv..pdf</v>
      </c>
      <c r="I214" s="24" t="str">
        <f>IFERROR(__xludf.DUMMYFUNCTION("""COMPUTED_VALUE"""),"Ciências Sociais Aplicadas")</f>
        <v>Ciências Sociais Aplicadas</v>
      </c>
    </row>
    <row r="215">
      <c r="A215" s="24" t="str">
        <f>IFERROR(__xludf.DUMMYFUNCTION("""COMPUTED_VALUE"""),"Espaço urbano: os agentes da produção em Chapecó*")</f>
        <v>Espaço urbano: os agentes da produção em Chapecó*</v>
      </c>
      <c r="B215" s="24" t="str">
        <f>IFERROR(__xludf.DUMMYFUNCTION("""COMPUTED_VALUE"""),"Rosa Salete Alba")</f>
        <v>Rosa Salete Alba</v>
      </c>
      <c r="C215" s="24" t="str">
        <f>IFERROR(__xludf.DUMMYFUNCTION("""COMPUTED_VALUE"""),"Chapecó")</f>
        <v>Chapecó</v>
      </c>
      <c r="D215" s="24" t="str">
        <f>IFERROR(__xludf.DUMMYFUNCTION("""COMPUTED_VALUE"""),"Argos")</f>
        <v>Argos</v>
      </c>
      <c r="E215" s="25">
        <f>IFERROR(__xludf.DUMMYFUNCTION("""COMPUTED_VALUE"""),2013.0)</f>
        <v>2013</v>
      </c>
      <c r="F215" s="24" t="str">
        <f>IFERROR(__xludf.DUMMYFUNCTION("""COMPUTED_VALUE"""),"Sistema agroindustrial. História - Chapecó")</f>
        <v>Sistema agroindustrial. História - Chapecó</v>
      </c>
      <c r="G215" s="28" t="str">
        <f>IFERROR(__xludf.DUMMYFUNCTION("""COMPUTED_VALUE"""),"9788578971106 (epub) 9788578971113 (pdf)")</f>
        <v>9788578971106 (epub) 9788578971113 (pdf)</v>
      </c>
      <c r="H215" s="29" t="str">
        <f>IFERROR(__xludf.DUMMYFUNCTION("""COMPUTED_VALUE"""),"https://www.editoraargos.com.br/farol/editoraargos/ebook/espaco-urbano-os-agentes-da-producao-em-chapeco/33249/")</f>
        <v>https://www.editoraargos.com.br/farol/editoraargos/ebook/espaco-urbano-os-agentes-da-producao-em-chapeco/33249/</v>
      </c>
      <c r="I215" s="24" t="str">
        <f>IFERROR(__xludf.DUMMYFUNCTION("""COMPUTED_VALUE"""),"Ciências Sociais Aplicadas")</f>
        <v>Ciências Sociais Aplicadas</v>
      </c>
    </row>
    <row r="216">
      <c r="A216" s="24" t="str">
        <f>IFERROR(__xludf.DUMMYFUNCTION("""COMPUTED_VALUE"""),"Espaços escolares: reflexões sobre pobreza e desigualdade social (Volume II)")</f>
        <v>Espaços escolares: reflexões sobre pobreza e desigualdade social (Volume II)</v>
      </c>
      <c r="B216" s="24" t="str">
        <f>IFERROR(__xludf.DUMMYFUNCTION("""COMPUTED_VALUE"""),"Célia Regina Teixeira; Francymara Antonino Nunes de Assis; Joel Araújo Queiroz; Joseval dos Reis Miranda; Maria Valdenice Resende Soares")</f>
        <v>Célia Regina Teixeira; Francymara Antonino Nunes de Assis; Joel Araújo Queiroz; Joseval dos Reis Miranda; Maria Valdenice Resende Soares</v>
      </c>
      <c r="C216" s="24" t="str">
        <f>IFERROR(__xludf.DUMMYFUNCTION("""COMPUTED_VALUE"""),"João Pessoa")</f>
        <v>João Pessoa</v>
      </c>
      <c r="D216" s="24" t="str">
        <f>IFERROR(__xludf.DUMMYFUNCTION("""COMPUTED_VALUE"""),"Editora da UFPB")</f>
        <v>Editora da UFPB</v>
      </c>
      <c r="E216" s="25">
        <f>IFERROR(__xludf.DUMMYFUNCTION("""COMPUTED_VALUE"""),2018.0)</f>
        <v>2018</v>
      </c>
      <c r="F216" s="24" t="str">
        <f>IFERROR(__xludf.DUMMYFUNCTION("""COMPUTED_VALUE"""),"Educação-desigualdade social. Educação-políticas públicas. Educação indígena")</f>
        <v>Educação-desigualdade social. Educação-políticas públicas. Educação indígena</v>
      </c>
      <c r="G216" s="28" t="str">
        <f>IFERROR(__xludf.DUMMYFUNCTION("""COMPUTED_VALUE"""),"9788523713669")</f>
        <v>9788523713669</v>
      </c>
      <c r="H216" s="29" t="str">
        <f>IFERROR(__xludf.DUMMYFUNCTION("""COMPUTED_VALUE"""),"http://www.editora.ufpb.br/sistema/press5/index.php/UFPB/catalog/book/197")</f>
        <v>http://www.editora.ufpb.br/sistema/press5/index.php/UFPB/catalog/book/197</v>
      </c>
      <c r="I216" s="24" t="str">
        <f>IFERROR(__xludf.DUMMYFUNCTION("""COMPUTED_VALUE"""),"Ciências Sociais Aplicadas")</f>
        <v>Ciências Sociais Aplicadas</v>
      </c>
    </row>
    <row r="217">
      <c r="A217" s="24" t="str">
        <f>IFERROR(__xludf.DUMMYFUNCTION("""COMPUTED_VALUE"""),"Espaços não escolares: reflexões sobre pobreza e desigualdade social (Volume III)")</f>
        <v>Espaços não escolares: reflexões sobre pobreza e desigualdade social (Volume III)</v>
      </c>
      <c r="B217" s="24" t="str">
        <f>IFERROR(__xludf.DUMMYFUNCTION("""COMPUTED_VALUE"""),"Célia Regina Teixeira; Francymara Antonino Nunes de Assis; Joel Araújo Queiroz; Joseval dos Reis Miranda; Maria Valdenice Resende Soares")</f>
        <v>Célia Regina Teixeira; Francymara Antonino Nunes de Assis; Joel Araújo Queiroz; Joseval dos Reis Miranda; Maria Valdenice Resende Soares</v>
      </c>
      <c r="C217" s="24" t="str">
        <f>IFERROR(__xludf.DUMMYFUNCTION("""COMPUTED_VALUE"""),"João Pessoa")</f>
        <v>João Pessoa</v>
      </c>
      <c r="D217" s="24" t="str">
        <f>IFERROR(__xludf.DUMMYFUNCTION("""COMPUTED_VALUE"""),"Editora da UFPB")</f>
        <v>Editora da UFPB</v>
      </c>
      <c r="E217" s="25">
        <f>IFERROR(__xludf.DUMMYFUNCTION("""COMPUTED_VALUE"""),2018.0)</f>
        <v>2018</v>
      </c>
      <c r="F217" s="24" t="str">
        <f>IFERROR(__xludf.DUMMYFUNCTION("""COMPUTED_VALUE"""),"Educação-desigualdade social. Educação-políticas públicas. Programas assistenciais-pessoas vulneráveis")</f>
        <v>Educação-desigualdade social. Educação-políticas públicas. Programas assistenciais-pessoas vulneráveis</v>
      </c>
      <c r="G217" s="28" t="str">
        <f>IFERROR(__xludf.DUMMYFUNCTION("""COMPUTED_VALUE"""),"9788523713652")</f>
        <v>9788523713652</v>
      </c>
      <c r="H217" s="29" t="str">
        <f>IFERROR(__xludf.DUMMYFUNCTION("""COMPUTED_VALUE"""),"http://www.editora.ufpb.br/sistema/press5/index.php/UFPB/catalog/book/198")</f>
        <v>http://www.editora.ufpb.br/sistema/press5/index.php/UFPB/catalog/book/198</v>
      </c>
      <c r="I217" s="24" t="str">
        <f>IFERROR(__xludf.DUMMYFUNCTION("""COMPUTED_VALUE"""),"Ciências Sociais Aplicadas")</f>
        <v>Ciências Sociais Aplicadas</v>
      </c>
    </row>
    <row r="218">
      <c r="A218" s="24" t="str">
        <f>IFERROR(__xludf.DUMMYFUNCTION("""COMPUTED_VALUE"""),"Espaços que suscitam sonhos: narrativas de memórias e identidades no Museu Comunitário Vivo Olho do Tempo (disponível temporariamente)")</f>
        <v>Espaços que suscitam sonhos: narrativas de memórias e identidades no Museu Comunitário Vivo Olho do Tempo (disponível temporariamente)</v>
      </c>
      <c r="B218" s="24" t="str">
        <f>IFERROR(__xludf.DUMMYFUNCTION("""COMPUTED_VALUE"""),"Átiloa Bezerra Tolentino, Mónica Franch.")</f>
        <v>Átiloa Bezerra Tolentino, Mónica Franch.</v>
      </c>
      <c r="C218" s="24" t="str">
        <f>IFERROR(__xludf.DUMMYFUNCTION("""COMPUTED_VALUE"""),"João Pessoa")</f>
        <v>João Pessoa</v>
      </c>
      <c r="D218" s="24" t="str">
        <f>IFERROR(__xludf.DUMMYFUNCTION("""COMPUTED_VALUE"""),"Editora da UFPB")</f>
        <v>Editora da UFPB</v>
      </c>
      <c r="E218" s="25">
        <f>IFERROR(__xludf.DUMMYFUNCTION("""COMPUTED_VALUE"""),2017.0)</f>
        <v>2017</v>
      </c>
      <c r="F218" s="24" t="str">
        <f>IFERROR(__xludf.DUMMYFUNCTION("""COMPUTED_VALUE"""),"Sociologia da Cultura; Memórias; Políticas Culturais; Museologia")</f>
        <v>Sociologia da Cultura; Memórias; Políticas Culturais; Museologia</v>
      </c>
      <c r="G218" s="28" t="str">
        <f>IFERROR(__xludf.DUMMYFUNCTION("""COMPUTED_VALUE"""),"9788523712075")</f>
        <v>9788523712075</v>
      </c>
      <c r="H218" s="29" t="str">
        <f>IFERROR(__xludf.DUMMYFUNCTION("""COMPUTED_VALUE"""),"http://www.editora.ufpb.br/sistema/press5/index.php/UFPB/catalog/book/349")</f>
        <v>http://www.editora.ufpb.br/sistema/press5/index.php/UFPB/catalog/book/349</v>
      </c>
      <c r="I218" s="24" t="str">
        <f>IFERROR(__xludf.DUMMYFUNCTION("""COMPUTED_VALUE"""),"Ciências Sociais Aplicadas")</f>
        <v>Ciências Sociais Aplicadas</v>
      </c>
    </row>
    <row r="219">
      <c r="A219" s="24" t="str">
        <f>IFERROR(__xludf.DUMMYFUNCTION("""COMPUTED_VALUE"""),"Estado e indução da atividade industrial.")</f>
        <v>Estado e indução da atividade industrial.</v>
      </c>
      <c r="B219" s="24" t="str">
        <f>IFERROR(__xludf.DUMMYFUNCTION("""COMPUTED_VALUE"""),"Adáuto de Oliveira Souza")</f>
        <v>Adáuto de Oliveira Souza</v>
      </c>
      <c r="C219" s="24" t="str">
        <f>IFERROR(__xludf.DUMMYFUNCTION("""COMPUTED_VALUE"""),"Dourados, MS")</f>
        <v>Dourados, MS</v>
      </c>
      <c r="D219" s="24" t="str">
        <f>IFERROR(__xludf.DUMMYFUNCTION("""COMPUTED_VALUE"""),"Ed. UFGD")</f>
        <v>Ed. UFGD</v>
      </c>
      <c r="E219" s="25">
        <f>IFERROR(__xludf.DUMMYFUNCTION("""COMPUTED_VALUE"""),2010.0)</f>
        <v>2010</v>
      </c>
      <c r="F219" s="24" t="str">
        <f>IFERROR(__xludf.DUMMYFUNCTION("""COMPUTED_VALUE"""),"Indústrias – Mato Grosso do Sul; Mato Grosso do Sul – Desenvolvimento econômico; Projetos e desenvolvimento econômico – Mato Grosso do Sul")</f>
        <v>Indústrias – Mato Grosso do Sul; Mato Grosso do Sul – Desenvolvimento econômico; Projetos e desenvolvimento econômico – Mato Grosso do Sul</v>
      </c>
      <c r="G219" s="28" t="str">
        <f>IFERROR(__xludf.DUMMYFUNCTION("""COMPUTED_VALUE"""),"9788561228613")</f>
        <v>9788561228613</v>
      </c>
      <c r="H219" s="29" t="str">
        <f>IFERROR(__xludf.DUMMYFUNCTION("""COMPUTED_VALUE"""),"http://omp.ufgd.edu.br/omp/index.php/livrosabertos/catalog/view/218/134/414-1")</f>
        <v>http://omp.ufgd.edu.br/omp/index.php/livrosabertos/catalog/view/218/134/414-1</v>
      </c>
      <c r="I219" s="24" t="str">
        <f>IFERROR(__xludf.DUMMYFUNCTION("""COMPUTED_VALUE"""),"Ciências Sociais Aplicadas")</f>
        <v>Ciências Sociais Aplicadas</v>
      </c>
    </row>
    <row r="220">
      <c r="A220" s="24" t="str">
        <f>IFERROR(__xludf.DUMMYFUNCTION("""COMPUTED_VALUE"""),"Estado e políticas públicas")</f>
        <v>Estado e políticas públicas</v>
      </c>
      <c r="B220" s="24" t="str">
        <f>IFERROR(__xludf.DUMMYFUNCTION("""COMPUTED_VALUE"""),"Silva, Leonardo Xavier da")</f>
        <v>Silva, Leonardo Xavier da</v>
      </c>
      <c r="C220" s="24" t="str">
        <f>IFERROR(__xludf.DUMMYFUNCTION("""COMPUTED_VALUE"""),"Porto Alegre")</f>
        <v>Porto Alegre</v>
      </c>
      <c r="D220" s="24" t="str">
        <f>IFERROR(__xludf.DUMMYFUNCTION("""COMPUTED_VALUE"""),"UFRGS")</f>
        <v>UFRGS</v>
      </c>
      <c r="E220" s="25">
        <f>IFERROR(__xludf.DUMMYFUNCTION("""COMPUTED_VALUE"""),2010.0)</f>
        <v>2010</v>
      </c>
      <c r="F220" s="24" t="str">
        <f>IFERROR(__xludf.DUMMYFUNCTION("""COMPUTED_VALUE"""),"Desenvolvimento econômico; Estado; Intervenção do estado na economia; Macroeconomia; Política pública; Políticas públicas")</f>
        <v>Desenvolvimento econômico; Estado; Intervenção do estado na economia; Macroeconomia; Política pública; Políticas públicas</v>
      </c>
      <c r="G220" s="28" t="str">
        <f>IFERROR(__xludf.DUMMYFUNCTION("""COMPUTED_VALUE"""),"9788538600961")</f>
        <v>9788538600961</v>
      </c>
      <c r="H220" s="29" t="str">
        <f>IFERROR(__xludf.DUMMYFUNCTION("""COMPUTED_VALUE"""),"http://hdl.handle.net/10183/56459")</f>
        <v>http://hdl.handle.net/10183/56459</v>
      </c>
      <c r="I220" s="24" t="str">
        <f>IFERROR(__xludf.DUMMYFUNCTION("""COMPUTED_VALUE"""),"Ciências Sociais Aplicadas")</f>
        <v>Ciências Sociais Aplicadas</v>
      </c>
    </row>
    <row r="221">
      <c r="A221" s="24" t="str">
        <f>IFERROR(__xludf.DUMMYFUNCTION("""COMPUTED_VALUE"""),"Estado, democracia e cidadania: perspectivas teóricas e críticas (disponível temporariamente)")</f>
        <v>Estado, democracia e cidadania: perspectivas teóricas e críticas (disponível temporariamente)</v>
      </c>
      <c r="B221" s="24" t="str">
        <f>IFERROR(__xludf.DUMMYFUNCTION("""COMPUTED_VALUE"""),"Newton de Oliveira Lima (organizador)")</f>
        <v>Newton de Oliveira Lima (organizador)</v>
      </c>
      <c r="C221" s="24" t="str">
        <f>IFERROR(__xludf.DUMMYFUNCTION("""COMPUTED_VALUE"""),"João Pessoa")</f>
        <v>João Pessoa</v>
      </c>
      <c r="D221" s="24" t="str">
        <f>IFERROR(__xludf.DUMMYFUNCTION("""COMPUTED_VALUE"""),"Editora da UFPB")</f>
        <v>Editora da UFPB</v>
      </c>
      <c r="E221" s="25">
        <f>IFERROR(__xludf.DUMMYFUNCTION("""COMPUTED_VALUE"""),2019.0)</f>
        <v>2019</v>
      </c>
      <c r="F221" s="24" t="str">
        <f>IFERROR(__xludf.DUMMYFUNCTION("""COMPUTED_VALUE"""),"Política; Democracia; Cidadania; Filosofia do direito; Direito")</f>
        <v>Política; Democracia; Cidadania; Filosofia do direito; Direito</v>
      </c>
      <c r="G221" s="28" t="str">
        <f>IFERROR(__xludf.DUMMYFUNCTION("""COMPUTED_VALUE"""),"9788523714581")</f>
        <v>9788523714581</v>
      </c>
      <c r="H221" s="29" t="str">
        <f>IFERROR(__xludf.DUMMYFUNCTION("""COMPUTED_VALUE"""),"http://www.editora.ufpb.br/sistema/press5/index.php/UFPB/catalog/book/576")</f>
        <v>http://www.editora.ufpb.br/sistema/press5/index.php/UFPB/catalog/book/576</v>
      </c>
      <c r="I221" s="24" t="str">
        <f>IFERROR(__xludf.DUMMYFUNCTION("""COMPUTED_VALUE"""),"Ciências Sociais Aplicadas")</f>
        <v>Ciências Sociais Aplicadas</v>
      </c>
    </row>
    <row r="222">
      <c r="A222" s="24" t="str">
        <f>IFERROR(__xludf.DUMMYFUNCTION("""COMPUTED_VALUE"""),"Estado, mercado e tributação: normas tributárias indutoras e seus reflexos socioeconômicos sobre o subsetor da construção civil de edificações residenciais")</f>
        <v>Estado, mercado e tributação: normas tributárias indutoras e seus reflexos socioeconômicos sobre o subsetor da construção civil de edificações residenciais</v>
      </c>
      <c r="B222" s="24" t="str">
        <f>IFERROR(__xludf.DUMMYFUNCTION("""COMPUTED_VALUE"""),"Felipe Crisanto M. Nóbrega")</f>
        <v>Felipe Crisanto M. Nóbrega</v>
      </c>
      <c r="C222" s="24" t="str">
        <f>IFERROR(__xludf.DUMMYFUNCTION("""COMPUTED_VALUE"""),"Campina Grande")</f>
        <v>Campina Grande</v>
      </c>
      <c r="D222" s="24" t="str">
        <f>IFERROR(__xludf.DUMMYFUNCTION("""COMPUTED_VALUE"""),"EDUEPB")</f>
        <v>EDUEPB</v>
      </c>
      <c r="E222" s="25">
        <f>IFERROR(__xludf.DUMMYFUNCTION("""COMPUTED_VALUE"""),2017.0)</f>
        <v>2017</v>
      </c>
      <c r="F222" s="24" t="str">
        <f>IFERROR(__xludf.DUMMYFUNCTION("""COMPUTED_VALUE"""),"Direito. Constituição Federal do Brasil de 1988. Sistema tributário nacional. Estado")</f>
        <v>Direito. Constituição Federal do Brasil de 1988. Sistema tributário nacional. Estado</v>
      </c>
      <c r="G222" s="28" t="str">
        <f>IFERROR(__xludf.DUMMYFUNCTION("""COMPUTED_VALUE"""),"9788578794675")</f>
        <v>9788578794675</v>
      </c>
      <c r="H222" s="29" t="str">
        <f>IFERROR(__xludf.DUMMYFUNCTION("""COMPUTED_VALUE"""),"http://eduepb.uepb.edu.br/download/estado-mercado-e-tributacao-normas-tributarias-indutoras-e-seus-reflexos-socioeconomicos-sobre-o-subsetor-da-construcao-civil-de-edificacoes-residenciais/?wpdmdl=432&amp;amp;masterkey=5b59e7e55b528")</f>
        <v>http://eduepb.uepb.edu.br/download/estado-mercado-e-tributacao-normas-tributarias-indutoras-e-seus-reflexos-socioeconomicos-sobre-o-subsetor-da-construcao-civil-de-edificacoes-residenciais/?wpdmdl=432&amp;amp;masterkey=5b59e7e55b528</v>
      </c>
      <c r="I222" s="24" t="str">
        <f>IFERROR(__xludf.DUMMYFUNCTION("""COMPUTED_VALUE"""),"Ciências Sociais Aplicadas")</f>
        <v>Ciências Sociais Aplicadas</v>
      </c>
    </row>
    <row r="223">
      <c r="A223" s="24" t="str">
        <f>IFERROR(__xludf.DUMMYFUNCTION("""COMPUTED_VALUE"""),"Estado, proteção social e segurança pública")</f>
        <v>Estado, proteção social e segurança pública</v>
      </c>
      <c r="B223" s="24" t="str">
        <f>IFERROR(__xludf.DUMMYFUNCTION("""COMPUTED_VALUE"""),"Sônia Cristina Lima Chaves, Julio Cesar de Sá da Rocha, Clóvis Zimmermann, organizadores")</f>
        <v>Sônia Cristina Lima Chaves, Julio Cesar de Sá da Rocha, Clóvis Zimmermann, organizadores</v>
      </c>
      <c r="C223" s="24" t="str">
        <f>IFERROR(__xludf.DUMMYFUNCTION("""COMPUTED_VALUE"""),"Salvador")</f>
        <v>Salvador</v>
      </c>
      <c r="D223" s="24" t="str">
        <f>IFERROR(__xludf.DUMMYFUNCTION("""COMPUTED_VALUE"""),"EDUFBA")</f>
        <v>EDUFBA</v>
      </c>
      <c r="E223" s="25">
        <f>IFERROR(__xludf.DUMMYFUNCTION("""COMPUTED_VALUE"""),2019.0)</f>
        <v>2019</v>
      </c>
      <c r="F223" s="24" t="str">
        <f>IFERROR(__xludf.DUMMYFUNCTION("""COMPUTED_VALUE"""),"Política social; Segurança pública; Estado-providência")</f>
        <v>Política social; Segurança pública; Estado-providência</v>
      </c>
      <c r="G223" s="28" t="str">
        <f>IFERROR(__xludf.DUMMYFUNCTION("""COMPUTED_VALUE"""),"9788523218379")</f>
        <v>9788523218379</v>
      </c>
      <c r="H223" s="29" t="str">
        <f>IFERROR(__xludf.DUMMYFUNCTION("""COMPUTED_VALUE"""),"http://repositorio.ufba.br/ri/handle/ri/29766")</f>
        <v>http://repositorio.ufba.br/ri/handle/ri/29766</v>
      </c>
      <c r="I223" s="24" t="str">
        <f>IFERROR(__xludf.DUMMYFUNCTION("""COMPUTED_VALUE"""),"Ciências Sociais Aplicadas")</f>
        <v>Ciências Sociais Aplicadas</v>
      </c>
    </row>
    <row r="224">
      <c r="A224" s="24" t="str">
        <f>IFERROR(__xludf.DUMMYFUNCTION("""COMPUTED_VALUE"""),"Estado, sociedade e mercado: novas perspectivas de desenvolvimento")</f>
        <v>Estado, sociedade e mercado: novas perspectivas de desenvolvimento</v>
      </c>
      <c r="B224" s="24" t="str">
        <f>IFERROR(__xludf.DUMMYFUNCTION("""COMPUTED_VALUE"""),"Ruesga Benito, Santos Miguel; Cunha, Andre Moreira; Bichara, Julimar da Silva; Haines, Andrés Ernesto Ferrari ")</f>
        <v>Ruesga Benito, Santos Miguel; Cunha, Andre Moreira; Bichara, Julimar da Silva; Haines, Andrés Ernesto Ferrari </v>
      </c>
      <c r="C224" s="24" t="str">
        <f>IFERROR(__xludf.DUMMYFUNCTION("""COMPUTED_VALUE"""),"Porto Alegre")</f>
        <v>Porto Alegre</v>
      </c>
      <c r="D224" s="24" t="str">
        <f>IFERROR(__xludf.DUMMYFUNCTION("""COMPUTED_VALUE"""),"UFRGS")</f>
        <v>UFRGS</v>
      </c>
      <c r="E224" s="25">
        <f>IFERROR(__xludf.DUMMYFUNCTION("""COMPUTED_VALUE"""),2018.0)</f>
        <v>2018</v>
      </c>
      <c r="F224" s="24" t="str">
        <f>IFERROR(__xludf.DUMMYFUNCTION("""COMPUTED_VALUE"""),"Desenvolvimento econômico; Estado; Inovação; Políticas públicas")</f>
        <v>Desenvolvimento econômico; Estado; Inovação; Políticas públicas</v>
      </c>
      <c r="G224" s="28" t="str">
        <f>IFERROR(__xludf.DUMMYFUNCTION("""COMPUTED_VALUE"""),"9788538604396")</f>
        <v>9788538604396</v>
      </c>
      <c r="H224" s="29" t="str">
        <f>IFERROR(__xludf.DUMMYFUNCTION("""COMPUTED_VALUE"""),"http://hdl.handle.net/10183/184838")</f>
        <v>http://hdl.handle.net/10183/184838</v>
      </c>
      <c r="I224" s="24" t="str">
        <f>IFERROR(__xludf.DUMMYFUNCTION("""COMPUTED_VALUE"""),"Ciências Sociais Aplicadas")</f>
        <v>Ciências Sociais Aplicadas</v>
      </c>
    </row>
    <row r="225">
      <c r="A225" s="24" t="str">
        <f>IFERROR(__xludf.DUMMYFUNCTION("""COMPUTED_VALUE"""),"Estudo analítico-crítico sobre políticas públicas sociais")</f>
        <v>Estudo analítico-crítico sobre políticas públicas sociais</v>
      </c>
      <c r="B225" s="24" t="str">
        <f>IFERROR(__xludf.DUMMYFUNCTION("""COMPUTED_VALUE"""),"Rogério Luiz Nery da Silva, Anna Letícia Piccoli, Cléber José Tizziani Schneider e Vinícius Secco Zoponi")</f>
        <v>Rogério Luiz Nery da Silva, Anna Letícia Piccoli, Cléber José Tizziani Schneider e Vinícius Secco Zoponi</v>
      </c>
      <c r="C225" s="24" t="str">
        <f>IFERROR(__xludf.DUMMYFUNCTION("""COMPUTED_VALUE"""),"Joaçaba")</f>
        <v>Joaçaba</v>
      </c>
      <c r="D225" s="24" t="str">
        <f>IFERROR(__xludf.DUMMYFUNCTION("""COMPUTED_VALUE"""),"Unoesc")</f>
        <v>Unoesc</v>
      </c>
      <c r="E225" s="25">
        <f>IFERROR(__xludf.DUMMYFUNCTION("""COMPUTED_VALUE"""),2018.0)</f>
        <v>2018</v>
      </c>
      <c r="F225" s="24" t="str">
        <f>IFERROR(__xludf.DUMMYFUNCTION("""COMPUTED_VALUE"""),"Direitos fundamentais, Princípio da efetividade, Direitos humanos")</f>
        <v>Direitos fundamentais, Princípio da efetividade, Direitos humanos</v>
      </c>
      <c r="G225" s="28" t="str">
        <f>IFERROR(__xludf.DUMMYFUNCTION("""COMPUTED_VALUE"""),"9788584221783")</f>
        <v>9788584221783</v>
      </c>
      <c r="H225" s="29" t="str">
        <f>IFERROR(__xludf.DUMMYFUNCTION("""COMPUTED_VALUE"""),"https://www.unoesc.edu.br/images/uploads/editora/Miolo_Direitos_Sociais2018.pdf")</f>
        <v>https://www.unoesc.edu.br/images/uploads/editora/Miolo_Direitos_Sociais2018.pdf</v>
      </c>
      <c r="I225" s="24" t="str">
        <f>IFERROR(__xludf.DUMMYFUNCTION("""COMPUTED_VALUE"""),"Ciências Sociais Aplicadas")</f>
        <v>Ciências Sociais Aplicadas</v>
      </c>
    </row>
    <row r="226">
      <c r="A226" s="24" t="str">
        <f>IFERROR(__xludf.DUMMYFUNCTION("""COMPUTED_VALUE"""),"Estudo comparado sobre políticas públicas por meio de resenhas críticas reflexivas")</f>
        <v>Estudo comparado sobre políticas públicas por meio de resenhas críticas reflexivas</v>
      </c>
      <c r="B226" s="24" t="str">
        <f>IFERROR(__xludf.DUMMYFUNCTION("""COMPUTED_VALUE"""),"Rogério Luiz Nery da Silva, Cristiane Brum dos Santos, Thaís Janaína Wenczenovicz")</f>
        <v>Rogério Luiz Nery da Silva, Cristiane Brum dos Santos, Thaís Janaína Wenczenovicz</v>
      </c>
      <c r="C226" s="24" t="str">
        <f>IFERROR(__xludf.DUMMYFUNCTION("""COMPUTED_VALUE"""),"Joaçaba")</f>
        <v>Joaçaba</v>
      </c>
      <c r="D226" s="24" t="str">
        <f>IFERROR(__xludf.DUMMYFUNCTION("""COMPUTED_VALUE"""),"Unoesc")</f>
        <v>Unoesc</v>
      </c>
      <c r="E226" s="25">
        <f>IFERROR(__xludf.DUMMYFUNCTION("""COMPUTED_VALUE"""),2017.0)</f>
        <v>2017</v>
      </c>
      <c r="F226" s="24" t="str">
        <f>IFERROR(__xludf.DUMMYFUNCTION("""COMPUTED_VALUE"""),"Direitos fundamentais, Princípio da efetividade, Direitos humanos")</f>
        <v>Direitos fundamentais, Princípio da efetividade, Direitos humanos</v>
      </c>
      <c r="G226" s="28" t="str">
        <f>IFERROR(__xludf.DUMMYFUNCTION("""COMPUTED_VALUE"""),"97885 8422177 6")</f>
        <v>97885 8422177 6</v>
      </c>
      <c r="H226" s="29" t="str">
        <f>IFERROR(__xludf.DUMMYFUNCTION("""COMPUTED_VALUE"""),"https://www.unoesc.edu.br/images/uploads/editora/Miolo_Direitos_sociais2017.pdf")</f>
        <v>https://www.unoesc.edu.br/images/uploads/editora/Miolo_Direitos_sociais2017.pdf</v>
      </c>
      <c r="I226" s="24" t="str">
        <f>IFERROR(__xludf.DUMMYFUNCTION("""COMPUTED_VALUE"""),"Ciências Sociais Aplicadas")</f>
        <v>Ciências Sociais Aplicadas</v>
      </c>
    </row>
    <row r="227">
      <c r="A227" s="24" t="str">
        <f>IFERROR(__xludf.DUMMYFUNCTION("""COMPUTED_VALUE"""),"Estudos contemporâneos em ciências jurídicas e sociais")</f>
        <v>Estudos contemporâneos em ciências jurídicas e sociais</v>
      </c>
      <c r="B227" s="24" t="str">
        <f>IFERROR(__xludf.DUMMYFUNCTION("""COMPUTED_VALUE"""),"Gianezini, Kelly; Gross, Jacson")</f>
        <v>Gianezini, Kelly; Gross, Jacson</v>
      </c>
      <c r="C227" s="24" t="str">
        <f>IFERROR(__xludf.DUMMYFUNCTION("""COMPUTED_VALUE"""),"Criciúma")</f>
        <v>Criciúma</v>
      </c>
      <c r="D227" s="24" t="str">
        <f>IFERROR(__xludf.DUMMYFUNCTION("""COMPUTED_VALUE"""),"UNESC")</f>
        <v>UNESC</v>
      </c>
      <c r="E227" s="25">
        <f>IFERROR(__xludf.DUMMYFUNCTION("""COMPUTED_VALUE"""),2017.0)</f>
        <v>2017</v>
      </c>
      <c r="F227" s="24" t="str">
        <f>IFERROR(__xludf.DUMMYFUNCTION("""COMPUTED_VALUE"""),"Sociologia jurídica; Justiça social; Inclusão social; Direitos dos estudantes; Direito a educação; Estado de exceção; Violência contra a mulher; Políticas públicas sociais; Filosofia")</f>
        <v>Sociologia jurídica; Justiça social; Inclusão social; Direitos dos estudantes; Direito a educação; Estado de exceção; Violência contra a mulher; Políticas públicas sociais; Filosofia</v>
      </c>
      <c r="G227" s="28" t="str">
        <f>IFERROR(__xludf.DUMMYFUNCTION("""COMPUTED_VALUE"""),"9788584100859")</f>
        <v>9788584100859</v>
      </c>
      <c r="H227" s="29" t="str">
        <f>IFERROR(__xludf.DUMMYFUNCTION("""COMPUTED_VALUE"""),"https://doi.org/10.18616/cienciasjuridicas")</f>
        <v>https://doi.org/10.18616/cienciasjuridicas</v>
      </c>
      <c r="I227" s="24" t="str">
        <f>IFERROR(__xludf.DUMMYFUNCTION("""COMPUTED_VALUE"""),"Ciências Sociais Aplicadas")</f>
        <v>Ciências Sociais Aplicadas</v>
      </c>
    </row>
    <row r="228">
      <c r="A228" s="24" t="str">
        <f>IFERROR(__xludf.DUMMYFUNCTION("""COMPUTED_VALUE"""),"Estudos econômicos: um olhar sobre o nosso mundo ")</f>
        <v>Estudos econômicos: um olhar sobre o nosso mundo </v>
      </c>
      <c r="B228" s="24" t="str">
        <f>IFERROR(__xludf.DUMMYFUNCTION("""COMPUTED_VALUE"""),"Lessi Inês Farias Pinheiro, Aline Conceição Souza")</f>
        <v>Lessi Inês Farias Pinheiro, Aline Conceição Souza</v>
      </c>
      <c r="C228" s="24" t="str">
        <f>IFERROR(__xludf.DUMMYFUNCTION("""COMPUTED_VALUE"""),"Ilhéus, BA")</f>
        <v>Ilhéus, BA</v>
      </c>
      <c r="D228" s="24" t="str">
        <f>IFERROR(__xludf.DUMMYFUNCTION("""COMPUTED_VALUE"""),"Editus")</f>
        <v>Editus</v>
      </c>
      <c r="E228" s="25">
        <f>IFERROR(__xludf.DUMMYFUNCTION("""COMPUTED_VALUE"""),2016.0)</f>
        <v>2016</v>
      </c>
      <c r="F228" s="24" t="str">
        <f>IFERROR(__xludf.DUMMYFUNCTION("""COMPUTED_VALUE"""),"Economia regional; Economia; Economia - Brasil")</f>
        <v>Economia regional; Economia; Economia - Brasil</v>
      </c>
      <c r="G228" s="28" t="str">
        <f>IFERROR(__xludf.DUMMYFUNCTION("""COMPUTED_VALUE"""),"9788574554105")</f>
        <v>9788574554105</v>
      </c>
      <c r="H228" s="29" t="str">
        <f>IFERROR(__xludf.DUMMYFUNCTION("""COMPUTED_VALUE"""),"http://www.uesc.br/editora/livrosdigitais2018/estudos_economicos.pdf")</f>
        <v>http://www.uesc.br/editora/livrosdigitais2018/estudos_economicos.pdf</v>
      </c>
      <c r="I228" s="24" t="str">
        <f>IFERROR(__xludf.DUMMYFUNCTION("""COMPUTED_VALUE"""),"Ciências Sociais Aplicadas")</f>
        <v>Ciências Sociais Aplicadas</v>
      </c>
    </row>
    <row r="229">
      <c r="A229" s="24" t="str">
        <f>IFERROR(__xludf.DUMMYFUNCTION("""COMPUTED_VALUE"""),"Estudos musicológicos luso-brasileiros")</f>
        <v>Estudos musicológicos luso-brasileiros</v>
      </c>
      <c r="B229" s="24" t="str">
        <f>IFERROR(__xludf.DUMMYFUNCTION("""COMPUTED_VALUE"""),"Goldberg, Luiz Guilherme; Zoboli Pocebon, Ruthe")</f>
        <v>Goldberg, Luiz Guilherme; Zoboli Pocebon, Ruthe</v>
      </c>
      <c r="C229" s="24" t="str">
        <f>IFERROR(__xludf.DUMMYFUNCTION("""COMPUTED_VALUE"""),"Pelotas")</f>
        <v>Pelotas</v>
      </c>
      <c r="D229" s="24" t="str">
        <f>IFERROR(__xludf.DUMMYFUNCTION("""COMPUTED_VALUE"""),"UFPel")</f>
        <v>UFPel</v>
      </c>
      <c r="E229" s="25">
        <f>IFERROR(__xludf.DUMMYFUNCTION("""COMPUTED_VALUE"""),2017.0)</f>
        <v>2017</v>
      </c>
      <c r="F229" s="24" t="str">
        <f>IFERROR(__xludf.DUMMYFUNCTION("""COMPUTED_VALUE"""),"Ciências musicais; Estudos musicais luso-brasileiros; Patrimônio musical")</f>
        <v>Ciências musicais; Estudos musicais luso-brasileiros; Patrimônio musical</v>
      </c>
      <c r="G229" s="28" t="str">
        <f>IFERROR(__xludf.DUMMYFUNCTION("""COMPUTED_VALUE"""),"9788551700075")</f>
        <v>9788551700075</v>
      </c>
      <c r="H229" s="29" t="str">
        <f>IFERROR(__xludf.DUMMYFUNCTION("""COMPUTED_VALUE"""),"http://repositorio.ufpel.edu.br:8080/bitstream/prefix/3490/1/musica_epub.epub")</f>
        <v>http://repositorio.ufpel.edu.br:8080/bitstream/prefix/3490/1/musica_epub.epub</v>
      </c>
      <c r="I229" s="24" t="str">
        <f>IFERROR(__xludf.DUMMYFUNCTION("""COMPUTED_VALUE"""),"Ciências Sociais Aplicadas")</f>
        <v>Ciências Sociais Aplicadas</v>
      </c>
    </row>
    <row r="230">
      <c r="A230" s="24" t="str">
        <f>IFERROR(__xludf.DUMMYFUNCTION("""COMPUTED_VALUE"""),"Estudos Qualitativos: Enfoques Teóricos e Técnicas de Coleta de Informações")</f>
        <v>Estudos Qualitativos: Enfoques Teóricos e Técnicas de Coleta de Informações</v>
      </c>
      <c r="B230" s="24" t="str">
        <f>IFERROR(__xludf.DUMMYFUNCTION("""COMPUTED_VALUE"""),"Raimunda Magalhães da Silva, Indara Cavalcante Bezerra, Christina César Praça Brasil, Escolástica Rejane Ferreira Moura")</f>
        <v>Raimunda Magalhães da Silva, Indara Cavalcante Bezerra, Christina César Praça Brasil, Escolástica Rejane Ferreira Moura</v>
      </c>
      <c r="C230" s="24" t="str">
        <f>IFERROR(__xludf.DUMMYFUNCTION("""COMPUTED_VALUE"""),"Sobral")</f>
        <v>Sobral</v>
      </c>
      <c r="D230" s="24" t="str">
        <f>IFERROR(__xludf.DUMMYFUNCTION("""COMPUTED_VALUE"""),"Edições UVA")</f>
        <v>Edições UVA</v>
      </c>
      <c r="E230" s="25">
        <f>IFERROR(__xludf.DUMMYFUNCTION("""COMPUTED_VALUE"""),2018.0)</f>
        <v>2018</v>
      </c>
      <c r="F230" s="24" t="str">
        <f>IFERROR(__xludf.DUMMYFUNCTION("""COMPUTED_VALUE"""),"Metodologia, Coleta de dados, Estudos qualitativos")</f>
        <v>Metodologia, Coleta de dados, Estudos qualitativos</v>
      </c>
      <c r="G230" s="28" t="str">
        <f>IFERROR(__xludf.DUMMYFUNCTION("""COMPUTED_VALUE"""),"9788595390164")</f>
        <v>9788595390164</v>
      </c>
      <c r="H230" s="29" t="str">
        <f>IFERROR(__xludf.DUMMYFUNCTION("""COMPUTED_VALUE"""),"http://www.uvanet.br/edicoes_uva/gera_xml.php?arquivo=estudos_qualitativos")</f>
        <v>http://www.uvanet.br/edicoes_uva/gera_xml.php?arquivo=estudos_qualitativos</v>
      </c>
      <c r="I230" s="24" t="str">
        <f>IFERROR(__xludf.DUMMYFUNCTION("""COMPUTED_VALUE"""),"Ciências Sociais Aplicadas")</f>
        <v>Ciências Sociais Aplicadas</v>
      </c>
    </row>
    <row r="231">
      <c r="A231" s="24" t="str">
        <f>IFERROR(__xludf.DUMMYFUNCTION("""COMPUTED_VALUE"""),"Estudos urbanos: conceitos, definições e debates")</f>
        <v>Estudos urbanos: conceitos, definições e debates</v>
      </c>
      <c r="B231" s="24" t="str">
        <f>IFERROR(__xludf.DUMMYFUNCTION("""COMPUTED_VALUE"""),"Marcos Clair Bovo; Fábio Rodrigues da Costa (org.)")</f>
        <v>Marcos Clair Bovo; Fábio Rodrigues da Costa (org.)</v>
      </c>
      <c r="C231" s="24" t="str">
        <f>IFERROR(__xludf.DUMMYFUNCTION("""COMPUTED_VALUE"""),"Campo Mourão, PR")</f>
        <v>Campo Mourão, PR</v>
      </c>
      <c r="D231" s="24" t="str">
        <f>IFERROR(__xludf.DUMMYFUNCTION("""COMPUTED_VALUE"""),"Editora Fecilcam")</f>
        <v>Editora Fecilcam</v>
      </c>
      <c r="E231" s="25">
        <f>IFERROR(__xludf.DUMMYFUNCTION("""COMPUTED_VALUE"""),2017.0)</f>
        <v>2017</v>
      </c>
      <c r="F231" s="24" t="str">
        <f>IFERROR(__xludf.DUMMYFUNCTION("""COMPUTED_VALUE"""),"Planejamento urbano. Cidades brasileiras. Violência urbana")</f>
        <v>Planejamento urbano. Cidades brasileiras. Violência urbana</v>
      </c>
      <c r="G231" s="28" t="str">
        <f>IFERROR(__xludf.DUMMYFUNCTION("""COMPUTED_VALUE"""),"9788588753440")</f>
        <v>9788588753440</v>
      </c>
      <c r="H231" s="29" t="str">
        <f>IFERROR(__xludf.DUMMYFUNCTION("""COMPUTED_VALUE"""),"http://campomourao.unespar.edu.br/editora/obras-digitais/estudos-urbanos-conceitos-definicoes-e-debates")</f>
        <v>http://campomourao.unespar.edu.br/editora/obras-digitais/estudos-urbanos-conceitos-definicoes-e-debates</v>
      </c>
      <c r="I231" s="24" t="str">
        <f>IFERROR(__xludf.DUMMYFUNCTION("""COMPUTED_VALUE"""),"Ciências Sociais Aplicadas")</f>
        <v>Ciências Sociais Aplicadas</v>
      </c>
    </row>
    <row r="232">
      <c r="A232" s="24" t="str">
        <f>IFERROR(__xludf.DUMMYFUNCTION("""COMPUTED_VALUE"""),"Etapas da construção científica: da curiosidade acadêmica à publicação dos resultados")</f>
        <v>Etapas da construção científica: da curiosidade acadêmica à publicação dos resultados</v>
      </c>
      <c r="B232" s="24" t="str">
        <f>IFERROR(__xludf.DUMMYFUNCTION("""COMPUTED_VALUE"""),"Lise, Fernanda; Souza, Bruno Mello; Schwartz, Eda; Garcia, Flávio Roberto Mello")</f>
        <v>Lise, Fernanda; Souza, Bruno Mello; Schwartz, Eda; Garcia, Flávio Roberto Mello</v>
      </c>
      <c r="C232" s="24" t="str">
        <f>IFERROR(__xludf.DUMMYFUNCTION("""COMPUTED_VALUE"""),"Pelotas")</f>
        <v>Pelotas</v>
      </c>
      <c r="D232" s="24" t="str">
        <f>IFERROR(__xludf.DUMMYFUNCTION("""COMPUTED_VALUE"""),"UFPel")</f>
        <v>UFPel</v>
      </c>
      <c r="E232" s="25">
        <f>IFERROR(__xludf.DUMMYFUNCTION("""COMPUTED_VALUE"""),2018.0)</f>
        <v>2018</v>
      </c>
      <c r="F232" s="24" t="str">
        <f>IFERROR(__xludf.DUMMYFUNCTION("""COMPUTED_VALUE"""),"Pesquisa; Ciência; Metodologia")</f>
        <v>Pesquisa; Ciência; Metodologia</v>
      </c>
      <c r="G232" s="28" t="str">
        <f>IFERROR(__xludf.DUMMYFUNCTION("""COMPUTED_VALUE"""),"9788551700211")</f>
        <v>9788551700211</v>
      </c>
      <c r="H232" s="29" t="str">
        <f>IFERROR(__xludf.DUMMYFUNCTION("""COMPUTED_VALUE"""),"http://guaiaca.ufpel.edu.br/bitstream/prefix/4171/3/Etapas%20da%20constru%c3%a7%c3%a3o.pdf")</f>
        <v>http://guaiaca.ufpel.edu.br/bitstream/prefix/4171/3/Etapas%20da%20constru%c3%a7%c3%a3o.pdf</v>
      </c>
      <c r="I232" s="24" t="str">
        <f>IFERROR(__xludf.DUMMYFUNCTION("""COMPUTED_VALUE"""),"Ciências Sociais Aplicadas")</f>
        <v>Ciências Sociais Aplicadas</v>
      </c>
    </row>
    <row r="233">
      <c r="A233" s="24" t="str">
        <f>IFERROR(__xludf.DUMMYFUNCTION("""COMPUTED_VALUE"""),"Evasione e tracciabilità dei pagamenti: Riflessi sulla forma di stato")</f>
        <v>Evasione e tracciabilità dei pagamenti: Riflessi sulla forma di stato</v>
      </c>
      <c r="B233" s="24" t="str">
        <f>IFERROR(__xludf.DUMMYFUNCTION("""COMPUTED_VALUE"""),"Di Salvatore Crisogianni")</f>
        <v>Di Salvatore Crisogianni</v>
      </c>
      <c r="C233" s="24" t="str">
        <f>IFERROR(__xludf.DUMMYFUNCTION("""COMPUTED_VALUE"""),"Campina Grande")</f>
        <v>Campina Grande</v>
      </c>
      <c r="D233" s="24" t="str">
        <f>IFERROR(__xludf.DUMMYFUNCTION("""COMPUTED_VALUE"""),"EDUEPB")</f>
        <v>EDUEPB</v>
      </c>
      <c r="E233" s="25">
        <f>IFERROR(__xludf.DUMMYFUNCTION("""COMPUTED_VALUE"""),2020.0)</f>
        <v>2020</v>
      </c>
      <c r="F233" s="24" t="str">
        <f>IFERROR(__xludf.DUMMYFUNCTION("""COMPUTED_VALUE"""),"Direito tributário – Evasão. Impostos – Sonegação. Evasão fiscal. Legislação italiana. Sistemas de pagamento – Itália. Legislação de rastreabilidade – Itália")</f>
        <v>Direito tributário – Evasão. Impostos – Sonegação. Evasão fiscal. Legislação italiana. Sistemas de pagamento – Itália. Legislação de rastreabilidade – Itália</v>
      </c>
      <c r="G233" s="28" t="str">
        <f>IFERROR(__xludf.DUMMYFUNCTION("""COMPUTED_VALUE"""),"9788578796136")</f>
        <v>9788578796136</v>
      </c>
      <c r="H233" s="29" t="str">
        <f>IFERROR(__xludf.DUMMYFUNCTION("""COMPUTED_VALUE"""),"http://eduepb.uepb.edu.br/download/evasione-e-tracciabilita/?wpdmdl=1072&amp;#038;masterkey=5ef1014c9897b")</f>
        <v>http://eduepb.uepb.edu.br/download/evasione-e-tracciabilita/?wpdmdl=1072&amp;#038;masterkey=5ef1014c9897b</v>
      </c>
      <c r="I233" s="24" t="str">
        <f>IFERROR(__xludf.DUMMYFUNCTION("""COMPUTED_VALUE"""),"Ciências Sociais Aplicadas")</f>
        <v>Ciências Sociais Aplicadas</v>
      </c>
    </row>
    <row r="234">
      <c r="A234" s="24" t="str">
        <f>IFERROR(__xludf.DUMMYFUNCTION("""COMPUTED_VALUE"""),"Exame Nacional de Desempenho dos Estudantes (ENADE): BIOMEDICINA 2010 – 2013 – 2016 – 2019: 104 questões comentadas ")</f>
        <v>Exame Nacional de Desempenho dos Estudantes (ENADE): BIOMEDICINA 2010 – 2013 – 2016 – 2019: 104 questões comentadas </v>
      </c>
      <c r="B234" s="24" t="str">
        <f>IFERROR(__xludf.DUMMYFUNCTION("""COMPUTED_VALUE"""),"Sandrine Comparsi, Wagner Helena Schirmer; ")</f>
        <v>Sandrine Comparsi, Wagner Helena Schirmer; </v>
      </c>
      <c r="C234" s="24" t="str">
        <f>IFERROR(__xludf.DUMMYFUNCTION("""COMPUTED_VALUE"""),"Porto Alegre")</f>
        <v>Porto Alegre</v>
      </c>
      <c r="D234" s="24" t="str">
        <f>IFERROR(__xludf.DUMMYFUNCTION("""COMPUTED_VALUE"""),"UFCSPA ")</f>
        <v>UFCSPA </v>
      </c>
      <c r="E234" s="25">
        <f>IFERROR(__xludf.DUMMYFUNCTION("""COMPUTED_VALUE"""),2020.0)</f>
        <v>2020</v>
      </c>
      <c r="F234" s="24" t="str">
        <f>IFERROR(__xludf.DUMMYFUNCTION("""COMPUTED_VALUE"""),"Educação Superior Questões de Prova ENADE")</f>
        <v>Educação Superior Questões de Prova ENADE</v>
      </c>
      <c r="G234" s="28" t="str">
        <f>IFERROR(__xludf.DUMMYFUNCTION("""COMPUTED_VALUE"""),"9786587950013")</f>
        <v>9786587950013</v>
      </c>
      <c r="H234" s="29" t="str">
        <f>IFERROR(__xludf.DUMMYFUNCTION("""COMPUTED_VALUE"""),"https://www.ufcspa.edu.br/editora_log/download.php?cod=015&amp;tipo=pdf")</f>
        <v>https://www.ufcspa.edu.br/editora_log/download.php?cod=015&amp;tipo=pdf</v>
      </c>
      <c r="I234" s="24" t="str">
        <f>IFERROR(__xludf.DUMMYFUNCTION("""COMPUTED_VALUE"""),"Ciências Sociais Aplicadas")</f>
        <v>Ciências Sociais Aplicadas</v>
      </c>
    </row>
    <row r="235">
      <c r="A235" s="24" t="str">
        <f>IFERROR(__xludf.DUMMYFUNCTION("""COMPUTED_VALUE"""),"Expansão urbana, segregação e violência: um estudo sobre a Região Metropolitana da Grande Vitória")</f>
        <v>Expansão urbana, segregação e violência: um estudo sobre a Região Metropolitana da Grande Vitória</v>
      </c>
      <c r="B235" s="24" t="str">
        <f>IFERROR(__xludf.DUMMYFUNCTION("""COMPUTED_VALUE"""),"Rossana Ferreira da Silva Mattos")</f>
        <v>Rossana Ferreira da Silva Mattos</v>
      </c>
      <c r="C235" s="24" t="str">
        <f>IFERROR(__xludf.DUMMYFUNCTION("""COMPUTED_VALUE"""),"Vitória")</f>
        <v>Vitória</v>
      </c>
      <c r="D235" s="24" t="str">
        <f>IFERROR(__xludf.DUMMYFUNCTION("""COMPUTED_VALUE"""),"EDUFES")</f>
        <v>EDUFES</v>
      </c>
      <c r="E235" s="25">
        <f>IFERROR(__xludf.DUMMYFUNCTION("""COMPUTED_VALUE"""),2013.0)</f>
        <v>2013</v>
      </c>
      <c r="F235" s="24" t="str">
        <f>IFERROR(__xludf.DUMMYFUNCTION("""COMPUTED_VALUE"""),"Urbanização; Segregação urbana; Violência urbana; Espírito Santo; Condições sociais")</f>
        <v>Urbanização; Segregação urbana; Violência urbana; Espírito Santo; Condições sociais</v>
      </c>
      <c r="G235" s="28" t="str">
        <f>IFERROR(__xludf.DUMMYFUNCTION("""COMPUTED_VALUE"""),"9788577721405")</f>
        <v>9788577721405</v>
      </c>
      <c r="H235" s="29" t="str">
        <f>IFERROR(__xludf.DUMMYFUNCTION("""COMPUTED_VALUE"""),"http://repositorio.ufes.br/handle/10/803")</f>
        <v>http://repositorio.ufes.br/handle/10/803</v>
      </c>
      <c r="I235" s="24" t="str">
        <f>IFERROR(__xludf.DUMMYFUNCTION("""COMPUTED_VALUE"""),"Ciências Sociais Aplicadas")</f>
        <v>Ciências Sociais Aplicadas</v>
      </c>
    </row>
    <row r="236">
      <c r="A236" s="24" t="str">
        <f>IFERROR(__xludf.DUMMYFUNCTION("""COMPUTED_VALUE"""),"Expressões culturais, literatura e turismo: estudos sobre memória, identidade e patrimônio cultural ")</f>
        <v>Expressões culturais, literatura e turismo: estudos sobre memória, identidade e patrimônio cultural </v>
      </c>
      <c r="B236" s="24" t="str">
        <f>IFERROR(__xludf.DUMMYFUNCTION("""COMPUTED_VALUE"""),"Maria de Lourdes Netto Simões; Jane Voisin, organizadoras. ")</f>
        <v>Maria de Lourdes Netto Simões; Jane Voisin, organizadoras. </v>
      </c>
      <c r="C236" s="24" t="str">
        <f>IFERROR(__xludf.DUMMYFUNCTION("""COMPUTED_VALUE"""),"Ilhéus, BA")</f>
        <v>Ilhéus, BA</v>
      </c>
      <c r="D236" s="24" t="str">
        <f>IFERROR(__xludf.DUMMYFUNCTION("""COMPUTED_VALUE"""),"Editus")</f>
        <v>Editus</v>
      </c>
      <c r="E236" s="25">
        <f>IFERROR(__xludf.DUMMYFUNCTION("""COMPUTED_VALUE"""),2011.0)</f>
        <v>2011</v>
      </c>
      <c r="F236" s="24" t="str">
        <f>IFERROR(__xludf.DUMMYFUNCTION("""COMPUTED_VALUE"""),"Cultura e Turismo – Bahia (Região sul); Cultura regio-; nal – Bahia (Região Sul) – Coletânea")</f>
        <v>Cultura e Turismo – Bahia (Região sul); Cultura regio-; nal – Bahia (Região Sul) – Coletânea</v>
      </c>
      <c r="G236" s="28" t="str">
        <f>IFERROR(__xludf.DUMMYFUNCTION("""COMPUTED_VALUE"""),"9788574552361")</f>
        <v>9788574552361</v>
      </c>
      <c r="H236" s="29" t="str">
        <f>IFERROR(__xludf.DUMMYFUNCTION("""COMPUTED_VALUE"""),"http://www.uesc.br/editora/livrosdigitais2015/expresso_esclt.pdf")</f>
        <v>http://www.uesc.br/editora/livrosdigitais2015/expresso_esclt.pdf</v>
      </c>
      <c r="I236" s="24" t="str">
        <f>IFERROR(__xludf.DUMMYFUNCTION("""COMPUTED_VALUE"""),"Ciências Sociais Aplicadas")</f>
        <v>Ciências Sociais Aplicadas</v>
      </c>
    </row>
    <row r="237">
      <c r="A237" s="24" t="str">
        <f>IFERROR(__xludf.DUMMYFUNCTION("""COMPUTED_VALUE"""),"Facebook and Education")</f>
        <v>Facebook and Education</v>
      </c>
      <c r="B237" s="24" t="str">
        <f>IFERROR(__xludf.DUMMYFUNCTION("""COMPUTED_VALUE"""),"Alexandre Chagas; Cristiane Porto; Edméa Santos (org.)")</f>
        <v>Alexandre Chagas; Cristiane Porto; Edméa Santos (org.)</v>
      </c>
      <c r="C237" s="24" t="str">
        <f>IFERROR(__xludf.DUMMYFUNCTION("""COMPUTED_VALUE"""),"Campina Grande")</f>
        <v>Campina Grande</v>
      </c>
      <c r="D237" s="24" t="str">
        <f>IFERROR(__xludf.DUMMYFUNCTION("""COMPUTED_VALUE"""),"EDUEPB")</f>
        <v>EDUEPB</v>
      </c>
      <c r="E237" s="25">
        <f>IFERROR(__xludf.DUMMYFUNCTION("""COMPUTED_VALUE"""),2016.0)</f>
        <v>2016</v>
      </c>
      <c r="F237" s="24" t="str">
        <f>IFERROR(__xludf.DUMMYFUNCTION("""COMPUTED_VALUE"""),"Redes sociais; Facebook; Internet; Social networks. Education")</f>
        <v>Redes sociais; Facebook; Internet; Social networks. Education</v>
      </c>
      <c r="G237" s="28" t="str">
        <f>IFERROR(__xludf.DUMMYFUNCTION("""COMPUTED_VALUE"""),"9788578793135")</f>
        <v>9788578793135</v>
      </c>
      <c r="H237" s="29" t="str">
        <f>IFERROR(__xludf.DUMMYFUNCTION("""COMPUTED_VALUE"""),"http://eduepb.uepb.edu.br/download/facebook-and-education/?wpdmdl=182&amp;amp;masterkey=5af99a4d62c03")</f>
        <v>http://eduepb.uepb.edu.br/download/facebook-and-education/?wpdmdl=182&amp;amp;masterkey=5af99a4d62c03</v>
      </c>
      <c r="I237" s="24" t="str">
        <f>IFERROR(__xludf.DUMMYFUNCTION("""COMPUTED_VALUE"""),"Ciências Sociais Aplicadas")</f>
        <v>Ciências Sociais Aplicadas</v>
      </c>
    </row>
    <row r="238">
      <c r="A238" s="24" t="str">
        <f>IFERROR(__xludf.DUMMYFUNCTION("""COMPUTED_VALUE"""),"Fazendo cidade: memória e urbanização no extremo oeste catarinense*")</f>
        <v>Fazendo cidade: memória e urbanização no extremo oeste catarinense*</v>
      </c>
      <c r="B238" s="24" t="str">
        <f>IFERROR(__xludf.DUMMYFUNCTION("""COMPUTED_VALUE"""),"Adriano Larentes da Silva")</f>
        <v>Adriano Larentes da Silva</v>
      </c>
      <c r="C238" s="24" t="str">
        <f>IFERROR(__xludf.DUMMYFUNCTION("""COMPUTED_VALUE"""),"Chapecó")</f>
        <v>Chapecó</v>
      </c>
      <c r="D238" s="24" t="str">
        <f>IFERROR(__xludf.DUMMYFUNCTION("""COMPUTED_VALUE"""),"Argos")</f>
        <v>Argos</v>
      </c>
      <c r="E238" s="25">
        <f>IFERROR(__xludf.DUMMYFUNCTION("""COMPUTED_VALUE"""),2013.0)</f>
        <v>2013</v>
      </c>
      <c r="F238" s="24" t="str">
        <f>IFERROR(__xludf.DUMMYFUNCTION("""COMPUTED_VALUE"""),"História - Santa Catarina")</f>
        <v>História - Santa Catarina</v>
      </c>
      <c r="G238" s="26"/>
      <c r="H238" s="29" t="str">
        <f>IFERROR(__xludf.DUMMYFUNCTION("""COMPUTED_VALUE"""),"https://www.editoraargos.com.br/farol/editoraargos/ebook/fazendo-cidade-memoria-e-urbanizacao-no-extremo-oeste-catarinense/33248/")</f>
        <v>https://www.editoraargos.com.br/farol/editoraargos/ebook/fazendo-cidade-memoria-e-urbanizacao-no-extremo-oeste-catarinense/33248/</v>
      </c>
      <c r="I238" s="24" t="str">
        <f>IFERROR(__xludf.DUMMYFUNCTION("""COMPUTED_VALUE"""),"Ciências Sociais Aplicadas")</f>
        <v>Ciências Sociais Aplicadas</v>
      </c>
    </row>
    <row r="239">
      <c r="A239" s="24" t="str">
        <f>IFERROR(__xludf.DUMMYFUNCTION("""COMPUTED_VALUE"""),"Fechamento de Mina: Aspectos Técnicos, Jurídicos e Socioambientais")</f>
        <v>Fechamento de Mina: Aspectos Técnicos, Jurídicos e Socioambientais</v>
      </c>
      <c r="B239" s="24" t="str">
        <f>IFERROR(__xludf.DUMMYFUNCTION("""COMPUTED_VALUE"""),"José Cruz do Carmo Flôres, Hernani Mota de Lima")</f>
        <v>José Cruz do Carmo Flôres, Hernani Mota de Lima</v>
      </c>
      <c r="C239" s="24" t="str">
        <f>IFERROR(__xludf.DUMMYFUNCTION("""COMPUTED_VALUE"""),"Ouro Preto")</f>
        <v>Ouro Preto</v>
      </c>
      <c r="D239" s="24" t="str">
        <f>IFERROR(__xludf.DUMMYFUNCTION("""COMPUTED_VALUE"""),"UFOP")</f>
        <v>UFOP</v>
      </c>
      <c r="E239" s="25">
        <f>IFERROR(__xludf.DUMMYFUNCTION("""COMPUTED_VALUE"""),2012.0)</f>
        <v>2012</v>
      </c>
      <c r="F239" s="24" t="str">
        <f>IFERROR(__xludf.DUMMYFUNCTION("""COMPUTED_VALUE"""),"Fechamento de minas. Impacto ambiental. Direito de minas")</f>
        <v>Fechamento de minas. Impacto ambiental. Direito de minas</v>
      </c>
      <c r="G239" s="28" t="str">
        <f>IFERROR(__xludf.DUMMYFUNCTION("""COMPUTED_VALUE"""),"9788528800814")</f>
        <v>9788528800814</v>
      </c>
      <c r="H239" s="29" t="str">
        <f>IFERROR(__xludf.DUMMYFUNCTION("""COMPUTED_VALUE"""),"https://www.editora.ufop.br/index.php/editora/catalog/view/40/27/92-1")</f>
        <v>https://www.editora.ufop.br/index.php/editora/catalog/view/40/27/92-1</v>
      </c>
      <c r="I239" s="24" t="str">
        <f>IFERROR(__xludf.DUMMYFUNCTION("""COMPUTED_VALUE"""),"Ciências Sociais Aplicadas")</f>
        <v>Ciências Sociais Aplicadas</v>
      </c>
    </row>
    <row r="240">
      <c r="A240" s="24" t="str">
        <f>IFERROR(__xludf.DUMMYFUNCTION("""COMPUTED_VALUE"""),"Feminicídio – quando a desigualdade de gênero mata: mapeamento da Tipificação na América Latina")</f>
        <v>Feminicídio – quando a desigualdade de gênero mata: mapeamento da Tipificação na América Latina</v>
      </c>
      <c r="B240" s="24" t="str">
        <f>IFERROR(__xludf.DUMMYFUNCTION("""COMPUTED_VALUE"""),"Patrícia Tuma Martins Bertolin, Bruna Angotti, Regina Stela Corrêa Vieira")</f>
        <v>Patrícia Tuma Martins Bertolin, Bruna Angotti, Regina Stela Corrêa Vieira</v>
      </c>
      <c r="C240" s="24" t="str">
        <f>IFERROR(__xludf.DUMMYFUNCTION("""COMPUTED_VALUE"""),"Joaçaba")</f>
        <v>Joaçaba</v>
      </c>
      <c r="D240" s="24" t="str">
        <f>IFERROR(__xludf.DUMMYFUNCTION("""COMPUTED_VALUE"""),"Unoesc")</f>
        <v>Unoesc</v>
      </c>
      <c r="E240" s="25">
        <f>IFERROR(__xludf.DUMMYFUNCTION("""COMPUTED_VALUE"""),2020.0)</f>
        <v>2020</v>
      </c>
      <c r="F240" s="24" t="str">
        <f>IFERROR(__xludf.DUMMYFUNCTION("""COMPUTED_VALUE"""),"Violência contra as mulheres Igualdade Direitos humanos")</f>
        <v>Violência contra as mulheres Igualdade Direitos humanos</v>
      </c>
      <c r="G240" s="28" t="str">
        <f>IFERROR(__xludf.DUMMYFUNCTION("""COMPUTED_VALUE"""),"9786586158090")</f>
        <v>9786586158090</v>
      </c>
      <c r="H240" s="29" t="str">
        <f>IFERROR(__xludf.DUMMYFUNCTION("""COMPUTED_VALUE"""),"https://www.unoesc.edu.br/images/uploads/editora/Miolo_Feminicídio_final.pdf")</f>
        <v>https://www.unoesc.edu.br/images/uploads/editora/Miolo_Feminicídio_final.pdf</v>
      </c>
      <c r="I240" s="24" t="str">
        <f>IFERROR(__xludf.DUMMYFUNCTION("""COMPUTED_VALUE"""),"Ciências Sociais Aplicadas")</f>
        <v>Ciências Sociais Aplicadas</v>
      </c>
    </row>
    <row r="241">
      <c r="A241" s="24" t="str">
        <f>IFERROR(__xludf.DUMMYFUNCTION("""COMPUTED_VALUE"""),"Filhos das feiras: uma composição do campo de negócios agreste")</f>
        <v>Filhos das feiras: uma composição do campo de negócios agreste</v>
      </c>
      <c r="B241" s="24" t="str">
        <f>IFERROR(__xludf.DUMMYFUNCTION("""COMPUTED_VALUE"""),"Marcio Sá")</f>
        <v>Marcio Sá</v>
      </c>
      <c r="C241" s="24" t="str">
        <f>IFERROR(__xludf.DUMMYFUNCTION("""COMPUTED_VALUE"""),"Recife")</f>
        <v>Recife</v>
      </c>
      <c r="D241" s="24" t="str">
        <f>IFERROR(__xludf.DUMMYFUNCTION("""COMPUTED_VALUE"""),"Fundação Joaquim Nabuco / Editora Massangana")</f>
        <v>Fundação Joaquim Nabuco / Editora Massangana</v>
      </c>
      <c r="E241" s="25">
        <f>IFERROR(__xludf.DUMMYFUNCTION("""COMPUTED_VALUE"""),2018.0)</f>
        <v>2018</v>
      </c>
      <c r="F241" s="24" t="str">
        <f>IFERROR(__xludf.DUMMYFUNCTION("""COMPUTED_VALUE"""),"Economia informal; Feiras; Confecção; Negócios; Agreste")</f>
        <v>Economia informal; Feiras; Confecção; Negócios; Agreste</v>
      </c>
      <c r="G241" s="28" t="str">
        <f>IFERROR(__xludf.DUMMYFUNCTION("""COMPUTED_VALUE"""),"9788570196736")</f>
        <v>9788570196736</v>
      </c>
      <c r="H241" s="29" t="str">
        <f>IFERROR(__xludf.DUMMYFUNCTION("""COMPUTED_VALUE"""),"https://www.fundaj.gov.br/images/stories/editora/livros/filhos_das_feiras_versao_portalpdf.pdf")</f>
        <v>https://www.fundaj.gov.br/images/stories/editora/livros/filhos_das_feiras_versao_portalpdf.pdf</v>
      </c>
      <c r="I241" s="24" t="str">
        <f>IFERROR(__xludf.DUMMYFUNCTION("""COMPUTED_VALUE"""),"Ciências Sociais Aplicadas")</f>
        <v>Ciências Sociais Aplicadas</v>
      </c>
    </row>
    <row r="242">
      <c r="A242" s="24" t="str">
        <f>IFERROR(__xludf.DUMMYFUNCTION("""COMPUTED_VALUE"""),"Formação da empresa e relações de trabalho na agropecuária: o caso de Aquidauana.")</f>
        <v>Formação da empresa e relações de trabalho na agropecuária: o caso de Aquidauana.</v>
      </c>
      <c r="B242" s="24" t="str">
        <f>IFERROR(__xludf.DUMMYFUNCTION("""COMPUTED_VALUE"""),"Osvaldo Zorzato")</f>
        <v>Osvaldo Zorzato</v>
      </c>
      <c r="C242" s="24" t="str">
        <f>IFERROR(__xludf.DUMMYFUNCTION("""COMPUTED_VALUE"""),"Dourados, MS")</f>
        <v>Dourados, MS</v>
      </c>
      <c r="D242" s="24" t="str">
        <f>IFERROR(__xludf.DUMMYFUNCTION("""COMPUTED_VALUE"""),"Ed. UFGD")</f>
        <v>Ed. UFGD</v>
      </c>
      <c r="E242" s="25">
        <f>IFERROR(__xludf.DUMMYFUNCTION("""COMPUTED_VALUE"""),2016.0)</f>
        <v>2016</v>
      </c>
      <c r="F242" s="24" t="str">
        <f>IFERROR(__xludf.DUMMYFUNCTION("""COMPUTED_VALUE"""),"Relações de trabalho; Agropecuária; Aquidauana")</f>
        <v>Relações de trabalho; Agropecuária; Aquidauana</v>
      </c>
      <c r="G242" s="28" t="str">
        <f>IFERROR(__xludf.DUMMYFUNCTION("""COMPUTED_VALUE"""),"9788581471310")</f>
        <v>9788581471310</v>
      </c>
      <c r="H242" s="29" t="str">
        <f>IFERROR(__xludf.DUMMYFUNCTION("""COMPUTED_VALUE"""),"http://omp.ufgd.edu.br/omp/index.php/livrosabertos/catalog/view/246/242/527-1")</f>
        <v>http://omp.ufgd.edu.br/omp/index.php/livrosabertos/catalog/view/246/242/527-1</v>
      </c>
      <c r="I242" s="24" t="str">
        <f>IFERROR(__xludf.DUMMYFUNCTION("""COMPUTED_VALUE"""),"Ciências Sociais Aplicadas")</f>
        <v>Ciências Sociais Aplicadas</v>
      </c>
    </row>
    <row r="243">
      <c r="A243" s="24" t="str">
        <f>IFERROR(__xludf.DUMMYFUNCTION("""COMPUTED_VALUE"""),"Fortalecimento de conselhos escolares: propostas e práticas em municípios sul-mato-grossenses")</f>
        <v>Fortalecimento de conselhos escolares: propostas e práticas em municípios sul-mato-grossenses</v>
      </c>
      <c r="B243" s="24" t="str">
        <f>IFERROR(__xludf.DUMMYFUNCTION("""COMPUTED_VALUE"""),"Andréia Vicência Vitor Alves ")</f>
        <v>Andréia Vicência Vitor Alves </v>
      </c>
      <c r="C243" s="24" t="str">
        <f>IFERROR(__xludf.DUMMYFUNCTION("""COMPUTED_VALUE"""),"Dourados, MS")</f>
        <v>Dourados, MS</v>
      </c>
      <c r="D243" s="24" t="str">
        <f>IFERROR(__xludf.DUMMYFUNCTION("""COMPUTED_VALUE"""),"Ed. da UFGD")</f>
        <v>Ed. da UFGD</v>
      </c>
      <c r="E243" s="25">
        <f>IFERROR(__xludf.DUMMYFUNCTION("""COMPUTED_VALUE"""),2014.0)</f>
        <v>2014</v>
      </c>
      <c r="F243" s="24" t="str">
        <f>IFERROR(__xludf.DUMMYFUNCTION("""COMPUTED_VALUE"""),"gestão em educação – mato grosso do sul; conselhos escolares; política educaciona")</f>
        <v>gestão em educação – mato grosso do sul; conselhos escolares; política educaciona</v>
      </c>
      <c r="G243" s="28" t="str">
        <f>IFERROR(__xludf.DUMMYFUNCTION("""COMPUTED_VALUE"""),"9788581470610")</f>
        <v>9788581470610</v>
      </c>
      <c r="H243" s="29" t="str">
        <f>IFERROR(__xludf.DUMMYFUNCTION("""COMPUTED_VALUE"""),"http://omp.ufgd.edu.br/omp/index.php/livrosabertos/catalog/view/108/230/511-1")</f>
        <v>http://omp.ufgd.edu.br/omp/index.php/livrosabertos/catalog/view/108/230/511-1</v>
      </c>
      <c r="I243" s="24" t="str">
        <f>IFERROR(__xludf.DUMMYFUNCTION("""COMPUTED_VALUE"""),"Ciências Sociais Aplicadas")</f>
        <v>Ciências Sociais Aplicadas</v>
      </c>
    </row>
    <row r="244">
      <c r="A244" s="24" t="str">
        <f>IFERROR(__xludf.DUMMYFUNCTION("""COMPUTED_VALUE"""),"Fronteiras")</f>
        <v>Fronteiras</v>
      </c>
      <c r="B244" s="24" t="str">
        <f>IFERROR(__xludf.DUMMYFUNCTION("""COMPUTED_VALUE"""),"Michelon, Francisca Ferreira; Censon, Dianine; Hallal, Dalila Rosa; Kaizer, Éverton Felipe; Gabriel, Ketrin Cristina; Radtke, Leopoldine; Jantzen, Sylvio Arnoldo Dick; Oliveira, Ana Lúcia Costa de; Silveira, Aline Montagna da; Rocha, Eduardo; Resende, Lor"&amp;"ena Maia; Portela, Laís Dellinghausen; Souza, Humberto Levy de; Borges, Paulo Ricardo Silveira; Brochi Fernández, Ana Lourdes da Rosa Nieves; Sá, Pierre Moreira dos")</f>
        <v>Michelon, Francisca Ferreira; Censon, Dianine; Hallal, Dalila Rosa; Kaizer, Éverton Felipe; Gabriel, Ketrin Cristina; Radtke, Leopoldine; Jantzen, Sylvio Arnoldo Dick; Oliveira, Ana Lúcia Costa de; Silveira, Aline Montagna da; Rocha, Eduardo; Resende, Lorena Maia; Portela, Laís Dellinghausen; Souza, Humberto Levy de; Borges, Paulo Ricardo Silveira; Brochi Fernández, Ana Lourdes da Rosa Nieves; Sá, Pierre Moreira dos</v>
      </c>
      <c r="C244" s="24" t="str">
        <f>IFERROR(__xludf.DUMMYFUNCTION("""COMPUTED_VALUE"""),"Pelotas")</f>
        <v>Pelotas</v>
      </c>
      <c r="D244" s="24" t="str">
        <f>IFERROR(__xludf.DUMMYFUNCTION("""COMPUTED_VALUE"""),"UFPel")</f>
        <v>UFPel</v>
      </c>
      <c r="E244" s="25">
        <f>IFERROR(__xludf.DUMMYFUNCTION("""COMPUTED_VALUE"""),2019.0)</f>
        <v>2019</v>
      </c>
      <c r="F244" s="24" t="str">
        <f>IFERROR(__xludf.DUMMYFUNCTION("""COMPUTED_VALUE"""),"Sociedade; Educação superior; Fronteiras; Cultura hídrica; Espaços sociais; Espaços culturais; Espaços políticos; Projetos extensão")</f>
        <v>Sociedade; Educação superior; Fronteiras; Cultura hídrica; Espaços sociais; Espaços culturais; Espaços políticos; Projetos extensão</v>
      </c>
      <c r="G244" s="28" t="str">
        <f>IFERROR(__xludf.DUMMYFUNCTION("""COMPUTED_VALUE"""),"9788571929487")</f>
        <v>9788571929487</v>
      </c>
      <c r="H244" s="29" t="str">
        <f>IFERROR(__xludf.DUMMYFUNCTION("""COMPUTED_VALUE"""),"http://guaiaca.ufpel.edu.br/bitstream/prefix/4457/1/Fronteiras.pdf")</f>
        <v>http://guaiaca.ufpel.edu.br/bitstream/prefix/4457/1/Fronteiras.pdf</v>
      </c>
      <c r="I244" s="24" t="str">
        <f>IFERROR(__xludf.DUMMYFUNCTION("""COMPUTED_VALUE"""),"Ciências Sociais Aplicadas")</f>
        <v>Ciências Sociais Aplicadas</v>
      </c>
    </row>
    <row r="245">
      <c r="A245" s="24" t="str">
        <f>IFERROR(__xludf.DUMMYFUNCTION("""COMPUTED_VALUE"""),"Fronteiras invisíveis: as relações do Brasil com a AméricaLatina. ")</f>
        <v>Fronteiras invisíveis: as relações do Brasil com a AméricaLatina. </v>
      </c>
      <c r="B245" s="24" t="str">
        <f>IFERROR(__xludf.DUMMYFUNCTION("""COMPUTED_VALUE"""),"Marcos Antonio da Silva, Guillermo AlfredoJohnson (org.)")</f>
        <v>Marcos Antonio da Silva, Guillermo AlfredoJohnson (org.)</v>
      </c>
      <c r="C245" s="24" t="str">
        <f>IFERROR(__xludf.DUMMYFUNCTION("""COMPUTED_VALUE"""),"Dourados, MS")</f>
        <v>Dourados, MS</v>
      </c>
      <c r="D245" s="24" t="str">
        <f>IFERROR(__xludf.DUMMYFUNCTION("""COMPUTED_VALUE"""),"Ed. da UFGD")</f>
        <v>Ed. da UFGD</v>
      </c>
      <c r="E245" s="25">
        <f>IFERROR(__xludf.DUMMYFUNCTION("""COMPUTED_VALUE"""),2016.0)</f>
        <v>2016</v>
      </c>
      <c r="F245" s="24" t="str">
        <f>IFERROR(__xludf.DUMMYFUNCTION("""COMPUTED_VALUE"""),"Política externa; Integração regional; Fronteirasinvisíveis")</f>
        <v>Política externa; Integração regional; Fronteirasinvisíveis</v>
      </c>
      <c r="G245" s="28" t="str">
        <f>IFERROR(__xludf.DUMMYFUNCTION("""COMPUTED_VALUE"""),"9788581471266")</f>
        <v>9788581471266</v>
      </c>
      <c r="H245" s="29" t="str">
        <f>IFERROR(__xludf.DUMMYFUNCTION("""COMPUTED_VALUE"""),"http://omp.ufgd.edu.br/omp/index.php/livrosabertos/catalog/view/109/229/510-1")</f>
        <v>http://omp.ufgd.edu.br/omp/index.php/livrosabertos/catalog/view/109/229/510-1</v>
      </c>
      <c r="I245" s="24" t="str">
        <f>IFERROR(__xludf.DUMMYFUNCTION("""COMPUTED_VALUE"""),"Ciências Sociais Aplicadas")</f>
        <v>Ciências Sociais Aplicadas</v>
      </c>
    </row>
    <row r="246">
      <c r="A246" s="24" t="str">
        <f>IFERROR(__xludf.DUMMYFUNCTION("""COMPUTED_VALUE"""),"Fundamentos Históricos e epistemológicos dos direitos humanos : Linguagem, memória e direito")</f>
        <v>Fundamentos Históricos e epistemológicos dos direitos humanos : Linguagem, memória e direito</v>
      </c>
      <c r="B246" s="24" t="str">
        <f>IFERROR(__xludf.DUMMYFUNCTION("""COMPUTED_VALUE"""),"Luciano Nascimento Silva (org.)")</f>
        <v>Luciano Nascimento Silva (org.)</v>
      </c>
      <c r="C246" s="24" t="str">
        <f>IFERROR(__xludf.DUMMYFUNCTION("""COMPUTED_VALUE"""),"Campina Grande")</f>
        <v>Campina Grande</v>
      </c>
      <c r="D246" s="24" t="str">
        <f>IFERROR(__xludf.DUMMYFUNCTION("""COMPUTED_VALUE"""),"EDUEPB")</f>
        <v>EDUEPB</v>
      </c>
      <c r="E246" s="25"/>
      <c r="F246" s="24" t="str">
        <f>IFERROR(__xludf.DUMMYFUNCTION("""COMPUTED_VALUE"""),"Direitos Humanos. Filosofia do Direito. Direitos Fundamentais –; Segurança pública – Brasil. Política criminal brasileira. Migração – Mulheres. Homofobia – Criminalização. Feminismo – Estratégias; discursivas. Direito penal – Tráfico de pessoas")</f>
        <v>Direitos Humanos. Filosofia do Direito. Direitos Fundamentais –; Segurança pública – Brasil. Política criminal brasileira. Migração – Mulheres. Homofobia – Criminalização. Feminismo – Estratégias; discursivas. Direito penal – Tráfico de pessoas</v>
      </c>
      <c r="G246" s="28" t="str">
        <f>IFERROR(__xludf.DUMMYFUNCTION("""COMPUTED_VALUE"""),"9788578796143")</f>
        <v>9788578796143</v>
      </c>
      <c r="H246" s="29" t="str">
        <f>IFERROR(__xludf.DUMMYFUNCTION("""COMPUTED_VALUE"""),"http://eduepb.uepb.edu.br/download/fundamentos-historicos/?wpdmdl=1045&amp;#038;masterkey=5ec88579cf25f")</f>
        <v>http://eduepb.uepb.edu.br/download/fundamentos-historicos/?wpdmdl=1045&amp;#038;masterkey=5ec88579cf25f</v>
      </c>
      <c r="I246" s="24" t="str">
        <f>IFERROR(__xludf.DUMMYFUNCTION("""COMPUTED_VALUE"""),"Ciências Sociais Aplicadas")</f>
        <v>Ciências Sociais Aplicadas</v>
      </c>
    </row>
    <row r="247">
      <c r="A247" s="24" t="str">
        <f>IFERROR(__xludf.DUMMYFUNCTION("""COMPUTED_VALUE"""),"Gênero, Participação Política E Novas Sociabilidades Da Juventude")</f>
        <v>Gênero, Participação Política E Novas Sociabilidades Da Juventude</v>
      </c>
      <c r="B247" s="24" t="str">
        <f>IFERROR(__xludf.DUMMYFUNCTION("""COMPUTED_VALUE"""),"Idalina Maria Freitas Lima Santiago; Josilene Barbosa do Nascimento; Orlandil de Lima Moreira")</f>
        <v>Idalina Maria Freitas Lima Santiago; Josilene Barbosa do Nascimento; Orlandil de Lima Moreira</v>
      </c>
      <c r="C247" s="24" t="str">
        <f>IFERROR(__xludf.DUMMYFUNCTION("""COMPUTED_VALUE"""),"Campina Grande")</f>
        <v>Campina Grande</v>
      </c>
      <c r="D247" s="24" t="str">
        <f>IFERROR(__xludf.DUMMYFUNCTION("""COMPUTED_VALUE"""),"EDUEPB")</f>
        <v>EDUEPB</v>
      </c>
      <c r="E247" s="25">
        <f>IFERROR(__xludf.DUMMYFUNCTION("""COMPUTED_VALUE"""),2016.0)</f>
        <v>2016</v>
      </c>
      <c r="F247" s="24" t="str">
        <f>IFERROR(__xludf.DUMMYFUNCTION("""COMPUTED_VALUE"""),"Políticas públicas. Genêro. Relações de gênero. Juventude. Sociabilidade")</f>
        <v>Políticas públicas. Genêro. Relações de gênero. Juventude. Sociabilidade</v>
      </c>
      <c r="G247" s="28" t="str">
        <f>IFERROR(__xludf.DUMMYFUNCTION("""COMPUTED_VALUE"""),"9788578793487")</f>
        <v>9788578793487</v>
      </c>
      <c r="H247" s="29" t="str">
        <f>IFERROR(__xludf.DUMMYFUNCTION("""COMPUTED_VALUE"""),"http://eduepb.uepb.edu.br/download/genero-participacao-politica-e-novas-sociabilidades-da-juventude/?wpdmdl=183&amp;amp;masterkey=5af99abbe83a1")</f>
        <v>http://eduepb.uepb.edu.br/download/genero-participacao-politica-e-novas-sociabilidades-da-juventude/?wpdmdl=183&amp;amp;masterkey=5af99abbe83a1</v>
      </c>
      <c r="I247" s="24" t="str">
        <f>IFERROR(__xludf.DUMMYFUNCTION("""COMPUTED_VALUE"""),"Ciências Sociais Aplicadas")</f>
        <v>Ciências Sociais Aplicadas</v>
      </c>
    </row>
    <row r="248">
      <c r="A248" s="24" t="str">
        <f>IFERROR(__xludf.DUMMYFUNCTION("""COMPUTED_VALUE"""),"Gestão da informação: temas e abordagens")</f>
        <v>Gestão da informação: temas e abordagens</v>
      </c>
      <c r="B248" s="24" t="str">
        <f>IFERROR(__xludf.DUMMYFUNCTION("""COMPUTED_VALUE"""),"Miguel Peixe, Adriana Maria; Lauer, Eduardo; Balsan, Jorge; Corecha, Josias; Pinto, José Simão; Benk, Larissa; Santos, Marcio; Cyganczuk, Marilyn; Santos, Michel")</f>
        <v>Miguel Peixe, Adriana Maria; Lauer, Eduardo; Balsan, Jorge; Corecha, Josias; Pinto, José Simão; Benk, Larissa; Santos, Marcio; Cyganczuk, Marilyn; Santos, Michel</v>
      </c>
      <c r="C248" s="24" t="str">
        <f>IFERROR(__xludf.DUMMYFUNCTION("""COMPUTED_VALUE"""),"Curitiba")</f>
        <v>Curitiba</v>
      </c>
      <c r="D248" s="24" t="str">
        <f>IFERROR(__xludf.DUMMYFUNCTION("""COMPUTED_VALUE"""),"UFPR")</f>
        <v>UFPR</v>
      </c>
      <c r="E248" s="25">
        <f>IFERROR(__xludf.DUMMYFUNCTION("""COMPUTED_VALUE"""),2019.0)</f>
        <v>2019</v>
      </c>
      <c r="F248" s="24" t="str">
        <f>IFERROR(__xludf.DUMMYFUNCTION("""COMPUTED_VALUE"""),"Gestão da Informação; Gestão do Conhecimento")</f>
        <v>Gestão da Informação; Gestão do Conhecimento</v>
      </c>
      <c r="G248" s="28" t="str">
        <f>IFERROR(__xludf.DUMMYFUNCTION("""COMPUTED_VALUE"""),"9788573353389")</f>
        <v>9788573353389</v>
      </c>
      <c r="H248" s="29" t="str">
        <f>IFERROR(__xludf.DUMMYFUNCTION("""COMPUTED_VALUE"""),"https://hdl.handle.net/1884/65364")</f>
        <v>https://hdl.handle.net/1884/65364</v>
      </c>
      <c r="I248" s="24" t="str">
        <f>IFERROR(__xludf.DUMMYFUNCTION("""COMPUTED_VALUE"""),"Ciências Sociais Aplicadas")</f>
        <v>Ciências Sociais Aplicadas</v>
      </c>
    </row>
    <row r="249">
      <c r="A249" s="24" t="str">
        <f>IFERROR(__xludf.DUMMYFUNCTION("""COMPUTED_VALUE"""),"Gestão do conhecimento e fluxo informacional: reconfigurações de comunicações em eventos (disponível temporariamente)")</f>
        <v>Gestão do conhecimento e fluxo informacional: reconfigurações de comunicações em eventos (disponível temporariamente)</v>
      </c>
      <c r="B249" s="24" t="str">
        <f>IFERROR(__xludf.DUMMYFUNCTION("""COMPUTED_VALUE"""),"Emeide Nóbrega Duarte; Rosilene Agapito da Silva Llarena; Suzana de Lucena Lira")</f>
        <v>Emeide Nóbrega Duarte; Rosilene Agapito da Silva Llarena; Suzana de Lucena Lira</v>
      </c>
      <c r="C249" s="24" t="str">
        <f>IFERROR(__xludf.DUMMYFUNCTION("""COMPUTED_VALUE"""),"João Pessoa")</f>
        <v>João Pessoa</v>
      </c>
      <c r="D249" s="24" t="str">
        <f>IFERROR(__xludf.DUMMYFUNCTION("""COMPUTED_VALUE"""),"Editora da UFPB")</f>
        <v>Editora da UFPB</v>
      </c>
      <c r="E249" s="25">
        <f>IFERROR(__xludf.DUMMYFUNCTION("""COMPUTED_VALUE"""),2018.0)</f>
        <v>2018</v>
      </c>
      <c r="F249" s="24" t="str">
        <f>IFERROR(__xludf.DUMMYFUNCTION("""COMPUTED_VALUE"""),"Ciência da Informação. Gestão do conhecimento. Gestão da informação. Fluxo informacional")</f>
        <v>Ciência da Informação. Gestão do conhecimento. Gestão da informação. Fluxo informacional</v>
      </c>
      <c r="G249" s="28" t="str">
        <f>IFERROR(__xludf.DUMMYFUNCTION("""COMPUTED_VALUE"""),"9788523712969")</f>
        <v>9788523712969</v>
      </c>
      <c r="H249" s="29" t="str">
        <f>IFERROR(__xludf.DUMMYFUNCTION("""COMPUTED_VALUE"""),"http://www.editora.ufpb.br/sistema/press5/index.php/UFPB/catalog/book/318")</f>
        <v>http://www.editora.ufpb.br/sistema/press5/index.php/UFPB/catalog/book/318</v>
      </c>
      <c r="I249" s="24" t="str">
        <f>IFERROR(__xludf.DUMMYFUNCTION("""COMPUTED_VALUE"""),"Ciências Sociais Aplicadas")</f>
        <v>Ciências Sociais Aplicadas</v>
      </c>
    </row>
    <row r="250">
      <c r="A250" s="24" t="str">
        <f>IFERROR(__xludf.DUMMYFUNCTION("""COMPUTED_VALUE"""),"Gestão do Conhecimento nas Redes dos Programas para a Juventude: Modelo Baseado nas Políticas Públicas (disponível temporariamente)")</f>
        <v>Gestão do Conhecimento nas Redes dos Programas para a Juventude: Modelo Baseado nas Políticas Públicas (disponível temporariamente)</v>
      </c>
      <c r="B250" s="24" t="str">
        <f>IFERROR(__xludf.DUMMYFUNCTION("""COMPUTED_VALUE"""),"Rosilene Agapito da Silva Llarena; Emeide Nóbrega Duarte; Miguel Ángel Esteban Navarro")</f>
        <v>Rosilene Agapito da Silva Llarena; Emeide Nóbrega Duarte; Miguel Ángel Esteban Navarro</v>
      </c>
      <c r="C250" s="24" t="str">
        <f>IFERROR(__xludf.DUMMYFUNCTION("""COMPUTED_VALUE"""),"João Pessoa")</f>
        <v>João Pessoa</v>
      </c>
      <c r="D250" s="24" t="str">
        <f>IFERROR(__xludf.DUMMYFUNCTION("""COMPUTED_VALUE"""),"Editora da UFPB")</f>
        <v>Editora da UFPB</v>
      </c>
      <c r="E250" s="25">
        <f>IFERROR(__xludf.DUMMYFUNCTION("""COMPUTED_VALUE"""),2017.0)</f>
        <v>2017</v>
      </c>
      <c r="F250" s="24" t="str">
        <f>IFERROR(__xludf.DUMMYFUNCTION("""COMPUTED_VALUE"""),"Políticas Públicas - Jovens. Gestão - Conhecimento")</f>
        <v>Políticas Públicas - Jovens. Gestão - Conhecimento</v>
      </c>
      <c r="G250" s="28" t="str">
        <f>IFERROR(__xludf.DUMMYFUNCTION("""COMPUTED_VALUE"""),"9788523712792")</f>
        <v>9788523712792</v>
      </c>
      <c r="H250" s="29" t="str">
        <f>IFERROR(__xludf.DUMMYFUNCTION("""COMPUTED_VALUE"""),"http://www.editora.ufpb.br/sistema/press5/index.php/UFPB/catalog/book/283")</f>
        <v>http://www.editora.ufpb.br/sistema/press5/index.php/UFPB/catalog/book/283</v>
      </c>
      <c r="I250" s="24" t="str">
        <f>IFERROR(__xludf.DUMMYFUNCTION("""COMPUTED_VALUE"""),"Ciências Sociais Aplicadas")</f>
        <v>Ciências Sociais Aplicadas</v>
      </c>
    </row>
    <row r="251">
      <c r="A251" s="24" t="str">
        <f>IFERROR(__xludf.DUMMYFUNCTION("""COMPUTED_VALUE"""),"Gestão do conhecimento, informação e redes: reconfigurações de comunicações em eventos (disponível temporariamente)")</f>
        <v>Gestão do conhecimento, informação e redes: reconfigurações de comunicações em eventos (disponível temporariamente)</v>
      </c>
      <c r="B251" s="24" t="str">
        <f>IFERROR(__xludf.DUMMYFUNCTION("""COMPUTED_VALUE"""),"lzira Karla Araújo da Silva, Emeide Nóbrega Duarte, Tereza Evâny de Lima Renôr Ferreira (Organizadoras). ")</f>
        <v>lzira Karla Araújo da Silva, Emeide Nóbrega Duarte, Tereza Evâny de Lima Renôr Ferreira (Organizadoras). </v>
      </c>
      <c r="C251" s="24" t="str">
        <f>IFERROR(__xludf.DUMMYFUNCTION("""COMPUTED_VALUE"""),"João Pessoa")</f>
        <v>João Pessoa</v>
      </c>
      <c r="D251" s="24" t="str">
        <f>IFERROR(__xludf.DUMMYFUNCTION("""COMPUTED_VALUE"""),"Editora da UFPB")</f>
        <v>Editora da UFPB</v>
      </c>
      <c r="E251" s="25">
        <f>IFERROR(__xludf.DUMMYFUNCTION("""COMPUTED_VALUE"""),2017.0)</f>
        <v>2017</v>
      </c>
      <c r="F251" s="24" t="str">
        <f>IFERROR(__xludf.DUMMYFUNCTION("""COMPUTED_VALUE"""),"Tecnologias da Informação e Comunicação; Gestão da Informação; Gestão do conhecimento; Gestão de redes")</f>
        <v>Tecnologias da Informação e Comunicação; Gestão da Informação; Gestão do conhecimento; Gestão de redes</v>
      </c>
      <c r="G251" s="28" t="str">
        <f>IFERROR(__xludf.DUMMYFUNCTION("""COMPUTED_VALUE"""),"9788523712976")</f>
        <v>9788523712976</v>
      </c>
      <c r="H251" s="29" t="str">
        <f>IFERROR(__xludf.DUMMYFUNCTION("""COMPUTED_VALUE"""),"http://www.editora.ufpb.br/sistema/press5/index.php/UFPB/catalog/book/319")</f>
        <v>http://www.editora.ufpb.br/sistema/press5/index.php/UFPB/catalog/book/319</v>
      </c>
      <c r="I251" s="24" t="str">
        <f>IFERROR(__xludf.DUMMYFUNCTION("""COMPUTED_VALUE"""),"Ciências Sociais Aplicadas")</f>
        <v>Ciências Sociais Aplicadas</v>
      </c>
    </row>
    <row r="252">
      <c r="A252" s="24" t="str">
        <f>IFERROR(__xludf.DUMMYFUNCTION("""COMPUTED_VALUE"""),"Gestão empresarial e planejamento tributário")</f>
        <v>Gestão empresarial e planejamento tributário</v>
      </c>
      <c r="B252" s="24" t="str">
        <f>IFERROR(__xludf.DUMMYFUNCTION("""COMPUTED_VALUE"""),"Rafaela dos Santos Jales (org.)")</f>
        <v>Rafaela dos Santos Jales (org.)</v>
      </c>
      <c r="C252" s="24" t="str">
        <f>IFERROR(__xludf.DUMMYFUNCTION("""COMPUTED_VALUE"""),"Campina Grande")</f>
        <v>Campina Grande</v>
      </c>
      <c r="D252" s="24" t="str">
        <f>IFERROR(__xludf.DUMMYFUNCTION("""COMPUTED_VALUE"""),"EDUEPB")</f>
        <v>EDUEPB</v>
      </c>
      <c r="E252" s="25">
        <f>IFERROR(__xludf.DUMMYFUNCTION("""COMPUTED_VALUE"""),2019.0)</f>
        <v>2019</v>
      </c>
      <c r="F252" s="24" t="str">
        <f>IFERROR(__xludf.DUMMYFUNCTION("""COMPUTED_VALUE"""),"Direito tributário. Novas tecnologias - Aspectos tributários. Planejamento tributário. Streaming. Criminalidade econômica e financeira. Tributo - Aspectos sociais. Elisão fiscal. E-commerce")</f>
        <v>Direito tributário. Novas tecnologias - Aspectos tributários. Planejamento tributário. Streaming. Criminalidade econômica e financeira. Tributo - Aspectos sociais. Elisão fiscal. E-commerce</v>
      </c>
      <c r="G252" s="28" t="str">
        <f>IFERROR(__xludf.DUMMYFUNCTION("""COMPUTED_VALUE"""),"9788578795528")</f>
        <v>9788578795528</v>
      </c>
      <c r="H252" s="29" t="str">
        <f>IFERROR(__xludf.DUMMYFUNCTION("""COMPUTED_VALUE"""),"http://eduepb.uepb.edu.br/download/gestao-empresarial-e-planejamento-tributario/?wpdmdl=720&amp;amp;masterkey=5cfe424fc8eb2")</f>
        <v>http://eduepb.uepb.edu.br/download/gestao-empresarial-e-planejamento-tributario/?wpdmdl=720&amp;amp;masterkey=5cfe424fc8eb2</v>
      </c>
      <c r="I252" s="24" t="str">
        <f>IFERROR(__xludf.DUMMYFUNCTION("""COMPUTED_VALUE"""),"Ciências Sociais Aplicadas")</f>
        <v>Ciências Sociais Aplicadas</v>
      </c>
    </row>
    <row r="253">
      <c r="A253" s="24" t="str">
        <f>IFERROR(__xludf.DUMMYFUNCTION("""COMPUTED_VALUE"""),"Gestão local de recursos hídricos: uma reflexão para a cidade do Rio de Janeiro")</f>
        <v>Gestão local de recursos hídricos: uma reflexão para a cidade do Rio de Janeiro</v>
      </c>
      <c r="B253" s="24" t="str">
        <f>IFERROR(__xludf.DUMMYFUNCTION("""COMPUTED_VALUE"""),"Organizadores; Danielle de Andrade Moreira; Luiz Felipe Guanaes Rego; Maria Fernanda Campos Lemos")</f>
        <v>Organizadores; Danielle de Andrade Moreira; Luiz Felipe Guanaes Rego; Maria Fernanda Campos Lemos</v>
      </c>
      <c r="C253" s="24" t="str">
        <f>IFERROR(__xludf.DUMMYFUNCTION("""COMPUTED_VALUE"""),"Rio de Janeiro")</f>
        <v>Rio de Janeiro</v>
      </c>
      <c r="D253" s="24" t="str">
        <f>IFERROR(__xludf.DUMMYFUNCTION("""COMPUTED_VALUE"""),"Editora PUC Rio")</f>
        <v>Editora PUC Rio</v>
      </c>
      <c r="E253" s="25">
        <f>IFERROR(__xludf.DUMMYFUNCTION("""COMPUTED_VALUE"""),2016.0)</f>
        <v>2016</v>
      </c>
      <c r="F253" s="24" t="str">
        <f>IFERROR(__xludf.DUMMYFUNCTION("""COMPUTED_VALUE"""),"Recursos hídricos – Rio de Janeiro (RJ). Recursos Hídricos – Administração – Rio de Janeiro (RJ). Recursos Hídricos – Desenvolvimento – Rio de Janeiro (RJ)")</f>
        <v>Recursos hídricos – Rio de Janeiro (RJ). Recursos Hídricos – Administração – Rio de Janeiro (RJ). Recursos Hídricos – Desenvolvimento – Rio de Janeiro (RJ)</v>
      </c>
      <c r="G253" s="28" t="str">
        <f>IFERROR(__xludf.DUMMYFUNCTION("""COMPUTED_VALUE"""),"9788580061918")</f>
        <v>9788580061918</v>
      </c>
      <c r="H253" s="29" t="str">
        <f>IFERROR(__xludf.DUMMYFUNCTION("""COMPUTED_VALUE"""),"http://www.editora.puc-rio.br/media/Gest%C3%A3o%20Local%20de%20Recursos%20H%C3%ADdricos%20ebook.pdf")</f>
        <v>http://www.editora.puc-rio.br/media/Gest%C3%A3o%20Local%20de%20Recursos%20H%C3%ADdricos%20ebook.pdf</v>
      </c>
      <c r="I253" s="24" t="str">
        <f>IFERROR(__xludf.DUMMYFUNCTION("""COMPUTED_VALUE"""),"Ciências Sociais Aplicadas")</f>
        <v>Ciências Sociais Aplicadas</v>
      </c>
    </row>
    <row r="254">
      <c r="A254" s="24" t="str">
        <f>IFERROR(__xludf.DUMMYFUNCTION("""COMPUTED_VALUE"""),"Gestão pública, município e federação")</f>
        <v>Gestão pública, município e federação</v>
      </c>
      <c r="B254" s="24" t="str">
        <f>IFERROR(__xludf.DUMMYFUNCTION("""COMPUTED_VALUE"""),"Demarco, Diogo Joel ")</f>
        <v>Demarco, Diogo Joel </v>
      </c>
      <c r="C254" s="24" t="str">
        <f>IFERROR(__xludf.DUMMYFUNCTION("""COMPUTED_VALUE"""),"Porto Alegre")</f>
        <v>Porto Alegre</v>
      </c>
      <c r="D254" s="24" t="str">
        <f>IFERROR(__xludf.DUMMYFUNCTION("""COMPUTED_VALUE"""),"UFRGS")</f>
        <v>UFRGS</v>
      </c>
      <c r="E254" s="25">
        <f>IFERROR(__xludf.DUMMYFUNCTION("""COMPUTED_VALUE"""),2018.0)</f>
        <v>2018</v>
      </c>
      <c r="F254" s="24" t="str">
        <f>IFERROR(__xludf.DUMMYFUNCTION("""COMPUTED_VALUE"""),"Administração pública; Cidadania; Planejamento estratégico; Políticas públicas")</f>
        <v>Administração pública; Cidadania; Planejamento estratégico; Políticas públicas</v>
      </c>
      <c r="G254" s="28" t="str">
        <f>IFERROR(__xludf.DUMMYFUNCTION("""COMPUTED_VALUE"""),"9788538604426")</f>
        <v>9788538604426</v>
      </c>
      <c r="H254" s="29" t="str">
        <f>IFERROR(__xludf.DUMMYFUNCTION("""COMPUTED_VALUE"""),"http://hdl.handle.net/10183/184830")</f>
        <v>http://hdl.handle.net/10183/184830</v>
      </c>
      <c r="I254" s="24" t="str">
        <f>IFERROR(__xludf.DUMMYFUNCTION("""COMPUTED_VALUE"""),"Ciências Sociais Aplicadas")</f>
        <v>Ciências Sociais Aplicadas</v>
      </c>
    </row>
    <row r="255">
      <c r="A255" s="24" t="str">
        <f>IFERROR(__xludf.DUMMYFUNCTION("""COMPUTED_VALUE"""),"Gestão Sustentável dos Recursos Naturais : Uma Abordagem Participativa")</f>
        <v>Gestão Sustentável dos Recursos Naturais : Uma Abordagem Participativa</v>
      </c>
      <c r="B255" s="24" t="str">
        <f>IFERROR(__xludf.DUMMYFUNCTION("""COMPUTED_VALUE"""),"Waleska Silveira Lira; Gesinaldo Ataíde Cândido (org.)")</f>
        <v>Waleska Silveira Lira; Gesinaldo Ataíde Cândido (org.)</v>
      </c>
      <c r="C255" s="24" t="str">
        <f>IFERROR(__xludf.DUMMYFUNCTION("""COMPUTED_VALUE"""),"Campina Grande")</f>
        <v>Campina Grande</v>
      </c>
      <c r="D255" s="24" t="str">
        <f>IFERROR(__xludf.DUMMYFUNCTION("""COMPUTED_VALUE"""),"EDUEPB")</f>
        <v>EDUEPB</v>
      </c>
      <c r="E255" s="25">
        <f>IFERROR(__xludf.DUMMYFUNCTION("""COMPUTED_VALUE"""),2013.0)</f>
        <v>2013</v>
      </c>
      <c r="F255" s="24" t="str">
        <f>IFERROR(__xludf.DUMMYFUNCTION("""COMPUTED_VALUE"""),"Gestão Ambiental. Desenvolvimento Sustentável. Recursos Naturais - Sustentabilidade. Consumo Responsável")</f>
        <v>Gestão Ambiental. Desenvolvimento Sustentável. Recursos Naturais - Sustentabilidade. Consumo Responsável</v>
      </c>
      <c r="G255" s="28" t="str">
        <f>IFERROR(__xludf.DUMMYFUNCTION("""COMPUTED_VALUE"""),"9788578791414")</f>
        <v>9788578791414</v>
      </c>
      <c r="H255" s="29" t="str">
        <f>IFERROR(__xludf.DUMMYFUNCTION("""COMPUTED_VALUE"""),"http://eduepb.uepb.edu.br/download/gestao-sustentavel-dos-recursos-naturais-uma-abordagem-participativa/?wpdmdl=184&amp;amp;masterkey=5af99aca96cbe")</f>
        <v>http://eduepb.uepb.edu.br/download/gestao-sustentavel-dos-recursos-naturais-uma-abordagem-participativa/?wpdmdl=184&amp;amp;masterkey=5af99aca96cbe</v>
      </c>
      <c r="I255" s="24" t="str">
        <f>IFERROR(__xludf.DUMMYFUNCTION("""COMPUTED_VALUE"""),"Ciências Sociais Aplicadas")</f>
        <v>Ciências Sociais Aplicadas</v>
      </c>
    </row>
    <row r="256">
      <c r="A256" s="24" t="str">
        <f>IFERROR(__xludf.DUMMYFUNCTION("""COMPUTED_VALUE"""),"Governança de TI: transformando a administração pública no Brasil")</f>
        <v>Governança de TI: transformando a administração pública no Brasil</v>
      </c>
      <c r="B256" s="24" t="str">
        <f>IFERROR(__xludf.DUMMYFUNCTION("""COMPUTED_VALUE"""),"Cepik, Marco Aurelio Chaves; Canabarro, Diego Rafael ")</f>
        <v>Cepik, Marco Aurelio Chaves; Canabarro, Diego Rafael </v>
      </c>
      <c r="C256" s="24" t="str">
        <f>IFERROR(__xludf.DUMMYFUNCTION("""COMPUTED_VALUE"""),"Porto Alegre")</f>
        <v>Porto Alegre</v>
      </c>
      <c r="D256" s="24" t="str">
        <f>IFERROR(__xludf.DUMMYFUNCTION("""COMPUTED_VALUE"""),"UFRGS")</f>
        <v>UFRGS</v>
      </c>
      <c r="E256" s="25">
        <f>IFERROR(__xludf.DUMMYFUNCTION("""COMPUTED_VALUE"""),2014.0)</f>
        <v>2014</v>
      </c>
      <c r="F256" s="24" t="str">
        <f>IFERROR(__xludf.DUMMYFUNCTION("""COMPUTED_VALUE"""),"Administração pública; Brasil; Governança; Orçamento público; Políticas públicas; Tecnologia da informação")</f>
        <v>Administração pública; Brasil; Governança; Orçamento público; Políticas públicas; Tecnologia da informação</v>
      </c>
      <c r="G256" s="28" t="str">
        <f>IFERROR(__xludf.DUMMYFUNCTION("""COMPUTED_VALUE"""),"9788538605102")</f>
        <v>9788538605102</v>
      </c>
      <c r="H256" s="29" t="str">
        <f>IFERROR(__xludf.DUMMYFUNCTION("""COMPUTED_VALUE"""),"http://hdl.handle.net/10183/213375")</f>
        <v>http://hdl.handle.net/10183/213375</v>
      </c>
      <c r="I256" s="24" t="str">
        <f>IFERROR(__xludf.DUMMYFUNCTION("""COMPUTED_VALUE"""),"Ciências Sociais Aplicadas")</f>
        <v>Ciências Sociais Aplicadas</v>
      </c>
    </row>
    <row r="257">
      <c r="A257" s="24" t="str">
        <f>IFERROR(__xludf.DUMMYFUNCTION("""COMPUTED_VALUE"""),"Governança digital")</f>
        <v>Governança digital</v>
      </c>
      <c r="B257" s="24" t="str">
        <f>IFERROR(__xludf.DUMMYFUNCTION("""COMPUTED_VALUE"""),"Pimenta, Marcelo Soares; Canabarro, Diego Rafael ")</f>
        <v>Pimenta, Marcelo Soares; Canabarro, Diego Rafael </v>
      </c>
      <c r="C257" s="24" t="str">
        <f>IFERROR(__xludf.DUMMYFUNCTION("""COMPUTED_VALUE"""),"Porto Alegre")</f>
        <v>Porto Alegre</v>
      </c>
      <c r="D257" s="24" t="str">
        <f>IFERROR(__xludf.DUMMYFUNCTION("""COMPUTED_VALUE"""),"UFRGS")</f>
        <v>UFRGS</v>
      </c>
      <c r="E257" s="25">
        <f>IFERROR(__xludf.DUMMYFUNCTION("""COMPUTED_VALUE"""),2014.0)</f>
        <v>2014</v>
      </c>
      <c r="F257" s="24" t="str">
        <f>IFERROR(__xludf.DUMMYFUNCTION("""COMPUTED_VALUE"""),"Administração pública; Políticas públicas; Tecnologia : Informacao; Tecnologia da informação")</f>
        <v>Administração pública; Políticas públicas; Tecnologia : Informacao; Tecnologia da informação</v>
      </c>
      <c r="G257" s="28" t="str">
        <f>IFERROR(__xludf.DUMMYFUNCTION("""COMPUTED_VALUE"""),"9788538604785")</f>
        <v>9788538604785</v>
      </c>
      <c r="H257" s="29" t="str">
        <f>IFERROR(__xludf.DUMMYFUNCTION("""COMPUTED_VALUE"""),"http://hdl.handle.net/10183/197238")</f>
        <v>http://hdl.handle.net/10183/197238</v>
      </c>
      <c r="I257" s="24" t="str">
        <f>IFERROR(__xludf.DUMMYFUNCTION("""COMPUTED_VALUE"""),"Ciências Sociais Aplicadas")</f>
        <v>Ciências Sociais Aplicadas</v>
      </c>
    </row>
    <row r="258">
      <c r="A258" s="24" t="str">
        <f>IFERROR(__xludf.DUMMYFUNCTION("""COMPUTED_VALUE"""),"Guerra econômica e competição no mundo contemporâneo")</f>
        <v>Guerra econômica e competição no mundo contemporâneo</v>
      </c>
      <c r="B258" s="24" t="str">
        <f>IFERROR(__xludf.DUMMYFUNCTION("""COMPUTED_VALUE"""),"Gagliano, Giuseppe")</f>
        <v>Gagliano, Giuseppe</v>
      </c>
      <c r="C258" s="24" t="str">
        <f>IFERROR(__xludf.DUMMYFUNCTION("""COMPUTED_VALUE"""),"Pelotas")</f>
        <v>Pelotas</v>
      </c>
      <c r="D258" s="24" t="str">
        <f>IFERROR(__xludf.DUMMYFUNCTION("""COMPUTED_VALUE"""),"UFPel")</f>
        <v>UFPel</v>
      </c>
      <c r="E258" s="25">
        <f>IFERROR(__xludf.DUMMYFUNCTION("""COMPUTED_VALUE"""),2018.0)</f>
        <v>2018</v>
      </c>
      <c r="F258" s="24" t="str">
        <f>IFERROR(__xludf.DUMMYFUNCTION("""COMPUTED_VALUE"""),"Economia; Política; Guerra; Traduzido")</f>
        <v>Economia; Política; Guerra; Traduzido</v>
      </c>
      <c r="G258" s="28" t="str">
        <f>IFERROR(__xludf.DUMMYFUNCTION("""COMPUTED_VALUE"""),"9788551700235")</f>
        <v>9788551700235</v>
      </c>
      <c r="H258" s="29" t="str">
        <f>IFERROR(__xludf.DUMMYFUNCTION("""COMPUTED_VALUE"""),"http://guaiaca.ufpel.edu.br/bitstream/prefix/4191/3/Guerra%20econ%c3%b4mica%20e%20competi%c3%a7%c3%a3o%20no%20mundo%20contempor%c3%a2neo..pdf")</f>
        <v>http://guaiaca.ufpel.edu.br/bitstream/prefix/4191/3/Guerra%20econ%c3%b4mica%20e%20competi%c3%a7%c3%a3o%20no%20mundo%20contempor%c3%a2neo..pdf</v>
      </c>
      <c r="I258" s="24" t="str">
        <f>IFERROR(__xludf.DUMMYFUNCTION("""COMPUTED_VALUE"""),"Ciências Sociais Aplicadas")</f>
        <v>Ciências Sociais Aplicadas</v>
      </c>
    </row>
    <row r="259">
      <c r="A259" s="24" t="str">
        <f>IFERROR(__xludf.DUMMYFUNCTION("""COMPUTED_VALUE"""),"Guia para normalização de publicações técnico-científicas")</f>
        <v>Guia para normalização de publicações técnico-científicas</v>
      </c>
      <c r="B259" s="24" t="str">
        <f>IFERROR(__xludf.DUMMYFUNCTION("""COMPUTED_VALUE"""),"Angela Maria Silva Fuchs, Maira Nani França, Maria Salete de Freitas Pinheiro")</f>
        <v>Angela Maria Silva Fuchs, Maira Nani França, Maria Salete de Freitas Pinheiro</v>
      </c>
      <c r="C259" s="24" t="str">
        <f>IFERROR(__xludf.DUMMYFUNCTION("""COMPUTED_VALUE"""),"Uberlândia")</f>
        <v>Uberlândia</v>
      </c>
      <c r="D259" s="24" t="str">
        <f>IFERROR(__xludf.DUMMYFUNCTION("""COMPUTED_VALUE"""),"EDUFU")</f>
        <v>EDUFU</v>
      </c>
      <c r="E259" s="25">
        <f>IFERROR(__xludf.DUMMYFUNCTION("""COMPUTED_VALUE"""),2013.0)</f>
        <v>2013</v>
      </c>
      <c r="F259" s="24" t="str">
        <f>IFERROR(__xludf.DUMMYFUNCTION("""COMPUTED_VALUE"""),"Documentação - Normas; Publicações técnicas - Normas; Publicações científi cas - Normas. I. França, Maira Nani. II. Pinheiro, Maria Salete de Freitas. III. Universidade Federal de Uberlândia. IV. Título")</f>
        <v>Documentação - Normas; Publicações técnicas - Normas; Publicações científi cas - Normas. I. França, Maira Nani. II. Pinheiro, Maria Salete de Freitas. III. Universidade Federal de Uberlândia. IV. Título</v>
      </c>
      <c r="G259" s="28" t="str">
        <f>IFERROR(__xludf.DUMMYFUNCTION("""COMPUTED_VALUE"""),"9788570783424")</f>
        <v>9788570783424</v>
      </c>
      <c r="H259" s="29" t="str">
        <f>IFERROR(__xludf.DUMMYFUNCTION("""COMPUTED_VALUE"""),"http://www.edufu.ufu.br/sites/edufu.ufu.br/files/e-book_guia_de_normalizacao_2018_0.pdf")</f>
        <v>http://www.edufu.ufu.br/sites/edufu.ufu.br/files/e-book_guia_de_normalizacao_2018_0.pdf</v>
      </c>
      <c r="I259" s="24" t="str">
        <f>IFERROR(__xludf.DUMMYFUNCTION("""COMPUTED_VALUE"""),"Ciências Sociais Aplicadas")</f>
        <v>Ciências Sociais Aplicadas</v>
      </c>
    </row>
    <row r="260">
      <c r="A260" s="24" t="str">
        <f>IFERROR(__xludf.DUMMYFUNCTION("""COMPUTED_VALUE"""),"Habitação de interesse social em Mato Grosso: contribuições científicas")</f>
        <v>Habitação de interesse social em Mato Grosso: contribuições científicas</v>
      </c>
      <c r="B260" s="24" t="str">
        <f>IFERROR(__xludf.DUMMYFUNCTION("""COMPUTED_VALUE"""),"(org.) Gisele Carignani, João Carlos Machado Sanches e; Luciane Cleonice Durante")</f>
        <v>(org.) Gisele Carignani, João Carlos Machado Sanches e; Luciane Cleonice Durante</v>
      </c>
      <c r="C260" s="24" t="str">
        <f>IFERROR(__xludf.DUMMYFUNCTION("""COMPUTED_VALUE"""),"Cáceres")</f>
        <v>Cáceres</v>
      </c>
      <c r="D260" s="24" t="str">
        <f>IFERROR(__xludf.DUMMYFUNCTION("""COMPUTED_VALUE"""),"UNEMAT")</f>
        <v>UNEMAT</v>
      </c>
      <c r="E260" s="25">
        <f>IFERROR(__xludf.DUMMYFUNCTION("""COMPUTED_VALUE"""),2018.0)</f>
        <v>2018</v>
      </c>
      <c r="F260" s="24" t="str">
        <f>IFERROR(__xludf.DUMMYFUNCTION("""COMPUTED_VALUE"""),"Habitação; Urbanização")</f>
        <v>Habitação; Urbanização</v>
      </c>
      <c r="G260" s="26"/>
      <c r="H260" s="29" t="str">
        <f>IFERROR(__xludf.DUMMYFUNCTION("""COMPUTED_VALUE"""),"http://portal.unemat.br/media/files/Editora/habitacao-de-interesse-social-em-MT.pdf")</f>
        <v>http://portal.unemat.br/media/files/Editora/habitacao-de-interesse-social-em-MT.pdf</v>
      </c>
      <c r="I260" s="24" t="str">
        <f>IFERROR(__xludf.DUMMYFUNCTION("""COMPUTED_VALUE"""),"Ciências Sociais Aplicadas")</f>
        <v>Ciências Sociais Aplicadas</v>
      </c>
    </row>
    <row r="261">
      <c r="A261" s="24" t="str">
        <f>IFERROR(__xludf.DUMMYFUNCTION("""COMPUTED_VALUE"""),"Histórias E Memórias Da Comunicação Institucional E Publicitária")</f>
        <v>Histórias E Memórias Da Comunicação Institucional E Publicitária</v>
      </c>
      <c r="B261" s="24" t="str">
        <f>IFERROR(__xludf.DUMMYFUNCTION("""COMPUTED_VALUE"""),"Maria Angela Pavan; Flavi Ferreira Lisbôa Filho; Ana Luiza Coiro Moraes (org.)")</f>
        <v>Maria Angela Pavan; Flavi Ferreira Lisbôa Filho; Ana Luiza Coiro Moraes (org.)</v>
      </c>
      <c r="C261" s="24" t="str">
        <f>IFERROR(__xludf.DUMMYFUNCTION("""COMPUTED_VALUE"""),"Campina Grande")</f>
        <v>Campina Grande</v>
      </c>
      <c r="D261" s="24" t="str">
        <f>IFERROR(__xludf.DUMMYFUNCTION("""COMPUTED_VALUE"""),"EDUEPB")</f>
        <v>EDUEPB</v>
      </c>
      <c r="E261" s="25">
        <f>IFERROR(__xludf.DUMMYFUNCTION("""COMPUTED_VALUE"""),2017.0)</f>
        <v>2017</v>
      </c>
      <c r="F261" s="24" t="str">
        <f>IFERROR(__xludf.DUMMYFUNCTION("""COMPUTED_VALUE"""),"Publicidade. Arte. Mídia. História. Comunicação. História comunicacional e midiática do Brasil")</f>
        <v>Publicidade. Arte. Mídia. História. Comunicação. História comunicacional e midiática do Brasil</v>
      </c>
      <c r="G261" s="28" t="str">
        <f>IFERROR(__xludf.DUMMYFUNCTION("""COMPUTED_VALUE"""),"9788578793685")</f>
        <v>9788578793685</v>
      </c>
      <c r="H261" s="29" t="str">
        <f>IFERROR(__xludf.DUMMYFUNCTION("""COMPUTED_VALUE"""),"http://eduepb.uepb.edu.br/download/historias-e-memorias-da-comunicacao-institucional-e-publicitaria/?wpdmdl=188&amp;amp;masterkey=5af99b6a82e76")</f>
        <v>http://eduepb.uepb.edu.br/download/historias-e-memorias-da-comunicacao-institucional-e-publicitaria/?wpdmdl=188&amp;amp;masterkey=5af99b6a82e76</v>
      </c>
      <c r="I261" s="24" t="str">
        <f>IFERROR(__xludf.DUMMYFUNCTION("""COMPUTED_VALUE"""),"Ciências Sociais Aplicadas")</f>
        <v>Ciências Sociais Aplicadas</v>
      </c>
    </row>
    <row r="262">
      <c r="A262" s="24" t="str">
        <f>IFERROR(__xludf.DUMMYFUNCTION("""COMPUTED_VALUE"""),"Homens que se veem: Masculinidades nas revistas Junior e Men's Health Portugal")</f>
        <v>Homens que se veem: Masculinidades nas revistas Junior e Men's Health Portugal</v>
      </c>
      <c r="B262" s="24" t="str">
        <f>IFERROR(__xludf.DUMMYFUNCTION("""COMPUTED_VALUE"""),"Felipe Viero Kolinski Machado")</f>
        <v>Felipe Viero Kolinski Machado</v>
      </c>
      <c r="C262" s="24" t="str">
        <f>IFERROR(__xludf.DUMMYFUNCTION("""COMPUTED_VALUE"""),"Ouro Preto")</f>
        <v>Ouro Preto</v>
      </c>
      <c r="D262" s="24" t="str">
        <f>IFERROR(__xludf.DUMMYFUNCTION("""COMPUTED_VALUE"""),"UFOP")</f>
        <v>UFOP</v>
      </c>
      <c r="E262" s="25">
        <f>IFERROR(__xludf.DUMMYFUNCTION("""COMPUTED_VALUE"""),2018.0)</f>
        <v>2018</v>
      </c>
      <c r="F262" s="24" t="str">
        <f>IFERROR(__xludf.DUMMYFUNCTION("""COMPUTED_VALUE"""),"Imagem corporal. Revistas. Jornalismo. Etnografia")</f>
        <v>Imagem corporal. Revistas. Jornalismo. Etnografia</v>
      </c>
      <c r="G262" s="28" t="str">
        <f>IFERROR(__xludf.DUMMYFUNCTION("""COMPUTED_VALUE"""),"9788528803662")</f>
        <v>9788528803662</v>
      </c>
      <c r="H262" s="29" t="str">
        <f>IFERROR(__xludf.DUMMYFUNCTION("""COMPUTED_VALUE"""),"https://www.editora.ufop.br/index.php/editora/catalog/view/150/119/393-1")</f>
        <v>https://www.editora.ufop.br/index.php/editora/catalog/view/150/119/393-1</v>
      </c>
      <c r="I262" s="24" t="str">
        <f>IFERROR(__xludf.DUMMYFUNCTION("""COMPUTED_VALUE"""),"Ciências Sociais Aplicadas")</f>
        <v>Ciências Sociais Aplicadas</v>
      </c>
    </row>
    <row r="263">
      <c r="A263" s="24" t="str">
        <f>IFERROR(__xludf.DUMMYFUNCTION("""COMPUTED_VALUE"""),"Homicídio Afetivo-Conjugal sob a Lente dos Operadores Jurídicos")</f>
        <v>Homicídio Afetivo-Conjugal sob a Lente dos Operadores Jurídicos</v>
      </c>
      <c r="B263" s="24" t="str">
        <f>IFERROR(__xludf.DUMMYFUNCTION("""COMPUTED_VALUE"""),"Marcela Zamboni, Helma J.S de Oliveira.")</f>
        <v>Marcela Zamboni, Helma J.S de Oliveira.</v>
      </c>
      <c r="C263" s="24" t="str">
        <f>IFERROR(__xludf.DUMMYFUNCTION("""COMPUTED_VALUE"""),"João Pessoa")</f>
        <v>João Pessoa</v>
      </c>
      <c r="D263" s="24" t="str">
        <f>IFERROR(__xludf.DUMMYFUNCTION("""COMPUTED_VALUE"""),"Editora da UFPB")</f>
        <v>Editora da UFPB</v>
      </c>
      <c r="E263" s="25">
        <f>IFERROR(__xludf.DUMMYFUNCTION("""COMPUTED_VALUE"""),2016.0)</f>
        <v>2016</v>
      </c>
      <c r="F263" s="24" t="str">
        <f>IFERROR(__xludf.DUMMYFUNCTION("""COMPUTED_VALUE"""),"Este livro tem o intuito de analisar a percepção dos operadores jurídicos - defensor dativo ou público, promotor de justiça e juiz - acerca dos casos de homícidio afetivo-conjugal julgados no fórum criminal de João Pessoa. Na ideia inicial, três categoria"&amp;"s de análise foram privilegiadas: a infidelidade, a quebra de confiança e os medos. Pretendíamos investigar como esses elementos eram compreendidos e tratados nos tribunais do júri, a partir da atuação dos operadores jurídicos")</f>
        <v>Este livro tem o intuito de analisar a percepção dos operadores jurídicos - defensor dativo ou público, promotor de justiça e juiz - acerca dos casos de homícidio afetivo-conjugal julgados no fórum criminal de João Pessoa. Na ideia inicial, três categorias de análise foram privilegiadas: a infidelidade, a quebra de confiança e os medos. Pretendíamos investigar como esses elementos eram compreendidos e tratados nos tribunais do júri, a partir da atuação dos operadores jurídicos</v>
      </c>
      <c r="G263" s="28" t="str">
        <f>IFERROR(__xludf.DUMMYFUNCTION("""COMPUTED_VALUE"""),"9788523711900")</f>
        <v>9788523711900</v>
      </c>
      <c r="H263" s="29" t="str">
        <f>IFERROR(__xludf.DUMMYFUNCTION("""COMPUTED_VALUE"""),"http://www.editora.ufpb.br/sistema/press5/index.php/UFPB/catalog/book/102")</f>
        <v>http://www.editora.ufpb.br/sistema/press5/index.php/UFPB/catalog/book/102</v>
      </c>
      <c r="I263" s="24" t="str">
        <f>IFERROR(__xludf.DUMMYFUNCTION("""COMPUTED_VALUE"""),"Ciências Sociais Aplicadas")</f>
        <v>Ciências Sociais Aplicadas</v>
      </c>
    </row>
    <row r="264">
      <c r="A264" s="24" t="str">
        <f>IFERROR(__xludf.DUMMYFUNCTION("""COMPUTED_VALUE"""),"I Jornada de Direito Empresarial")</f>
        <v>I Jornada de Direito Empresarial</v>
      </c>
      <c r="B264" s="24" t="str">
        <f>IFERROR(__xludf.DUMMYFUNCTION("""COMPUTED_VALUE"""),"Emilly da Silva Alves; Jubevan Caldas de Sousa; Luciano do Nascimento Silva; Maria Luiza Soares dos Santos; Rayane Félix Silva (org.)")</f>
        <v>Emilly da Silva Alves; Jubevan Caldas de Sousa; Luciano do Nascimento Silva; Maria Luiza Soares dos Santos; Rayane Félix Silva (org.)</v>
      </c>
      <c r="C264" s="24" t="str">
        <f>IFERROR(__xludf.DUMMYFUNCTION("""COMPUTED_VALUE"""),"Campina Grande")</f>
        <v>Campina Grande</v>
      </c>
      <c r="D264" s="24" t="str">
        <f>IFERROR(__xludf.DUMMYFUNCTION("""COMPUTED_VALUE"""),"EDUEPB")</f>
        <v>EDUEPB</v>
      </c>
      <c r="E264" s="25">
        <f>IFERROR(__xludf.DUMMYFUNCTION("""COMPUTED_VALUE"""),2018.0)</f>
        <v>2018</v>
      </c>
      <c r="F264" s="24" t="str">
        <f>IFERROR(__xludf.DUMMYFUNCTION("""COMPUTED_VALUE"""),"Direito empresarial. Sociedade. Falência. Direito")</f>
        <v>Direito empresarial. Sociedade. Falência. Direito</v>
      </c>
      <c r="G264" s="28" t="str">
        <f>IFERROR(__xludf.DUMMYFUNCTION("""COMPUTED_VALUE"""),"9788578795030")</f>
        <v>9788578795030</v>
      </c>
      <c r="H264" s="29" t="str">
        <f>IFERROR(__xludf.DUMMYFUNCTION("""COMPUTED_VALUE"""),"http://eduepb.uepb.edu.br/download/i-jornada-de-direito-empresarial/?wpdmdl=729&amp;amp;masterkey=5d079651b242b")</f>
        <v>http://eduepb.uepb.edu.br/download/i-jornada-de-direito-empresarial/?wpdmdl=729&amp;amp;masterkey=5d079651b242b</v>
      </c>
      <c r="I264" s="24" t="str">
        <f>IFERROR(__xludf.DUMMYFUNCTION("""COMPUTED_VALUE"""),"Ciências Sociais Aplicadas")</f>
        <v>Ciências Sociais Aplicadas</v>
      </c>
    </row>
    <row r="265">
      <c r="A265" s="24" t="str">
        <f>IFERROR(__xludf.DUMMYFUNCTION("""COMPUTED_VALUE"""),"Identidade profissional dos servidores comissionados da UESC: uma análise à luz da Psicologia Social")</f>
        <v>Identidade profissional dos servidores comissionados da UESC: uma análise à luz da Psicologia Social</v>
      </c>
      <c r="B265" s="24" t="str">
        <f>IFERROR(__xludf.DUMMYFUNCTION("""COMPUTED_VALUE"""),"Geysa Angélica Andrade da Rocha")</f>
        <v>Geysa Angélica Andrade da Rocha</v>
      </c>
      <c r="C265" s="24" t="str">
        <f>IFERROR(__xludf.DUMMYFUNCTION("""COMPUTED_VALUE"""),"Ilhéus, BA")</f>
        <v>Ilhéus, BA</v>
      </c>
      <c r="D265" s="24" t="str">
        <f>IFERROR(__xludf.DUMMYFUNCTION("""COMPUTED_VALUE"""),"Editus")</f>
        <v>Editus</v>
      </c>
      <c r="E265" s="25">
        <f>IFERROR(__xludf.DUMMYFUNCTION("""COMPUTED_VALUE"""),2015.0)</f>
        <v>2015</v>
      </c>
      <c r="F265" s="24" t="str">
        <f>IFERROR(__xludf.DUMMYFUNCTION("""COMPUTED_VALUE"""),"Identidade; Identidade Social; Universidade Estadual de Santa Cruz – Servidores públicos; Trabalho – Satisfação")</f>
        <v>Identidade; Identidade Social; Universidade Estadual de Santa Cruz – Servidores públicos; Trabalho – Satisfação</v>
      </c>
      <c r="G265" s="28" t="str">
        <f>IFERROR(__xludf.DUMMYFUNCTION("""COMPUTED_VALUE"""),"9788574553825")</f>
        <v>9788574553825</v>
      </c>
      <c r="H265" s="29" t="str">
        <f>IFERROR(__xludf.DUMMYFUNCTION("""COMPUTED_VALUE"""),"http://www.uesc.br/editora/livrosdigitais2017/identidade_profissional.pdf")</f>
        <v>http://www.uesc.br/editora/livrosdigitais2017/identidade_profissional.pdf</v>
      </c>
      <c r="I265" s="24" t="str">
        <f>IFERROR(__xludf.DUMMYFUNCTION("""COMPUTED_VALUE"""),"Ciências Sociais Aplicadas")</f>
        <v>Ciências Sociais Aplicadas</v>
      </c>
    </row>
    <row r="266">
      <c r="A266" s="24" t="str">
        <f>IFERROR(__xludf.DUMMYFUNCTION("""COMPUTED_VALUE"""),"Identity, migration and labour")</f>
        <v>Identity, migration and labour</v>
      </c>
      <c r="B266" s="24" t="str">
        <f>IFERROR(__xludf.DUMMYFUNCTION("""COMPUTED_VALUE"""),"Rodrigo Espiúca dos Anjos Siqueira, Thaís Janaina Wenczenovicz")</f>
        <v>Rodrigo Espiúca dos Anjos Siqueira, Thaís Janaina Wenczenovicz</v>
      </c>
      <c r="C266" s="24" t="str">
        <f>IFERROR(__xludf.DUMMYFUNCTION("""COMPUTED_VALUE"""),"Joaçaba")</f>
        <v>Joaçaba</v>
      </c>
      <c r="D266" s="24" t="str">
        <f>IFERROR(__xludf.DUMMYFUNCTION("""COMPUTED_VALUE"""),"Unoesc")</f>
        <v>Unoesc</v>
      </c>
      <c r="E266" s="25">
        <f>IFERROR(__xludf.DUMMYFUNCTION("""COMPUTED_VALUE"""),2017.0)</f>
        <v>2017</v>
      </c>
      <c r="F266" s="24" t="str">
        <f>IFERROR(__xludf.DUMMYFUNCTION("""COMPUTED_VALUE"""),"Direitos fundamentais, Migração, Dignidade")</f>
        <v>Direitos fundamentais, Migração, Dignidade</v>
      </c>
      <c r="G266" s="28" t="str">
        <f>IFERROR(__xludf.DUMMYFUNCTION("""COMPUTED_VALUE"""),"9788584221356")</f>
        <v>9788584221356</v>
      </c>
      <c r="H266" s="29" t="str">
        <f>IFERROR(__xludf.DUMMYFUNCTION("""COMPUTED_VALUE"""),"https://www.unoesc.edu.br/images/uploads/editora/Identity,_migration_and_labour.pdf")</f>
        <v>https://www.unoesc.edu.br/images/uploads/editora/Identity,_migration_and_labour.pdf</v>
      </c>
      <c r="I266" s="24" t="str">
        <f>IFERROR(__xludf.DUMMYFUNCTION("""COMPUTED_VALUE"""),"Ciências Sociais Aplicadas")</f>
        <v>Ciências Sociais Aplicadas</v>
      </c>
    </row>
    <row r="267">
      <c r="A267" s="24" t="str">
        <f>IFERROR(__xludf.DUMMYFUNCTION("""COMPUTED_VALUE"""),"Imigração haitiana: perfil, ambientação social e organizacional no oeste catarinense, política migratória e aspectos da história do Haiti")</f>
        <v>Imigração haitiana: perfil, ambientação social e organizacional no oeste catarinense, política migratória e aspectos da história do Haiti</v>
      </c>
      <c r="B267" s="24" t="str">
        <f>IFERROR(__xludf.DUMMYFUNCTION("""COMPUTED_VALUE"""),"Darlan José Roman, Izabella Barison Matos")</f>
        <v>Darlan José Roman, Izabella Barison Matos</v>
      </c>
      <c r="C267" s="24" t="str">
        <f>IFERROR(__xludf.DUMMYFUNCTION("""COMPUTED_VALUE"""),"Joaçaba")</f>
        <v>Joaçaba</v>
      </c>
      <c r="D267" s="24" t="str">
        <f>IFERROR(__xludf.DUMMYFUNCTION("""COMPUTED_VALUE"""),"Unoesc")</f>
        <v>Unoesc</v>
      </c>
      <c r="E267" s="25">
        <f>IFERROR(__xludf.DUMMYFUNCTION("""COMPUTED_VALUE"""),2018.0)</f>
        <v>2018</v>
      </c>
      <c r="F267" s="24" t="str">
        <f>IFERROR(__xludf.DUMMYFUNCTION("""COMPUTED_VALUE"""),"Santa Catarina – Imigração haitiana, Haiti -; História, Imigração")</f>
        <v>Santa Catarina – Imigração haitiana, Haiti -; História, Imigração</v>
      </c>
      <c r="G267" s="28" t="str">
        <f>IFERROR(__xludf.DUMMYFUNCTION("""COMPUTED_VALUE"""),"9788584221813")</f>
        <v>9788584221813</v>
      </c>
      <c r="H267" s="29" t="str">
        <f>IFERROR(__xludf.DUMMYFUNCTION("""COMPUTED_VALUE"""),"https://www.unoesc.edu.br/images/uploads/editora/Miolo_mestradoADM_web.pdf")</f>
        <v>https://www.unoesc.edu.br/images/uploads/editora/Miolo_mestradoADM_web.pdf</v>
      </c>
      <c r="I267" s="24" t="str">
        <f>IFERROR(__xludf.DUMMYFUNCTION("""COMPUTED_VALUE"""),"Ciências Sociais Aplicadas")</f>
        <v>Ciências Sociais Aplicadas</v>
      </c>
    </row>
    <row r="268">
      <c r="A268" s="24" t="str">
        <f>IFERROR(__xludf.DUMMYFUNCTION("""COMPUTED_VALUE"""),"Império das Cartas nos Jornais: Coletânea de cartas sobre a instrução pública no Nordeste do século XIX")</f>
        <v>Império das Cartas nos Jornais: Coletânea de cartas sobre a instrução pública no Nordeste do século XIX</v>
      </c>
      <c r="B268" s="24" t="str">
        <f>IFERROR(__xludf.DUMMYFUNCTION("""COMPUTED_VALUE"""),"Fabiana Sena")</f>
        <v>Fabiana Sena</v>
      </c>
      <c r="C268" s="24" t="str">
        <f>IFERROR(__xludf.DUMMYFUNCTION("""COMPUTED_VALUE"""),"João Pessoa")</f>
        <v>João Pessoa</v>
      </c>
      <c r="D268" s="24" t="str">
        <f>IFERROR(__xludf.DUMMYFUNCTION("""COMPUTED_VALUE"""),"Editora da UFPB")</f>
        <v>Editora da UFPB</v>
      </c>
      <c r="E268" s="25">
        <f>IFERROR(__xludf.DUMMYFUNCTION("""COMPUTED_VALUE"""),2019.0)</f>
        <v>2019</v>
      </c>
      <c r="F268" s="24" t="str">
        <f>IFERROR(__xludf.DUMMYFUNCTION("""COMPUTED_VALUE"""),"Imprensa - Nordeste. Jornais - Bahia - Século XIX. Educação – Nordeste – Século XIX")</f>
        <v>Imprensa - Nordeste. Jornais - Bahia - Século XIX. Educação – Nordeste – Século XIX</v>
      </c>
      <c r="G268" s="28" t="str">
        <f>IFERROR(__xludf.DUMMYFUNCTION("""COMPUTED_VALUE"""),"9788523714222")</f>
        <v>9788523714222</v>
      </c>
      <c r="H268" s="29" t="str">
        <f>IFERROR(__xludf.DUMMYFUNCTION("""COMPUTED_VALUE"""),"http://www.editora.ufpb.br/sistema/press5/index.php/UFPB/catalog/book/153")</f>
        <v>http://www.editora.ufpb.br/sistema/press5/index.php/UFPB/catalog/book/153</v>
      </c>
      <c r="I268" s="24" t="str">
        <f>IFERROR(__xludf.DUMMYFUNCTION("""COMPUTED_VALUE"""),"Ciências Sociais Aplicadas")</f>
        <v>Ciências Sociais Aplicadas</v>
      </c>
    </row>
    <row r="269">
      <c r="A269" s="24" t="str">
        <f>IFERROR(__xludf.DUMMYFUNCTION("""COMPUTED_VALUE"""),"Impressões de Identidade: um olhar sobre a imprensa gay no Brasil")</f>
        <v>Impressões de Identidade: um olhar sobre a imprensa gay no Brasil</v>
      </c>
      <c r="B269" s="24" t="str">
        <f>IFERROR(__xludf.DUMMYFUNCTION("""COMPUTED_VALUE"""),"Jorge Caê Rodrigues ")</f>
        <v>Jorge Caê Rodrigues </v>
      </c>
      <c r="C269" s="24" t="str">
        <f>IFERROR(__xludf.DUMMYFUNCTION("""COMPUTED_VALUE"""),"Niterói, RJ")</f>
        <v>Niterói, RJ</v>
      </c>
      <c r="D269" s="24" t="str">
        <f>IFERROR(__xludf.DUMMYFUNCTION("""COMPUTED_VALUE"""),"EDUFF")</f>
        <v>EDUFF</v>
      </c>
      <c r="E269" s="25">
        <f>IFERROR(__xludf.DUMMYFUNCTION("""COMPUTED_VALUE"""),2010.0)</f>
        <v>2010</v>
      </c>
      <c r="F269" s="24" t="str">
        <f>IFERROR(__xludf.DUMMYFUNCTION("""COMPUTED_VALUE"""),"Imprensa; Cultura ")</f>
        <v>Imprensa; Cultura </v>
      </c>
      <c r="G269" s="28" t="str">
        <f>IFERROR(__xludf.DUMMYFUNCTION("""COMPUTED_VALUE"""),"9788522805440")</f>
        <v>9788522805440</v>
      </c>
      <c r="H269" s="29" t="str">
        <f>IFERROR(__xludf.DUMMYFUNCTION("""COMPUTED_VALUE"""),"http://bit.ly/Impressoes-de-identidade")</f>
        <v>http://bit.ly/Impressoes-de-identidade</v>
      </c>
      <c r="I269" s="24" t="str">
        <f>IFERROR(__xludf.DUMMYFUNCTION("""COMPUTED_VALUE"""),"Ciências Sociais Aplicadas")</f>
        <v>Ciências Sociais Aplicadas</v>
      </c>
    </row>
    <row r="270">
      <c r="A270" s="24" t="str">
        <f>IFERROR(__xludf.DUMMYFUNCTION("""COMPUTED_VALUE"""),"Incubadoras tecnológicas de economia solidária: concepção, metodologia e avaliação - volume 1")</f>
        <v>Incubadoras tecnológicas de economia solidária: concepção, metodologia e avaliação - volume 1</v>
      </c>
      <c r="B270" s="24" t="str">
        <f>IFERROR(__xludf.DUMMYFUNCTION("""COMPUTED_VALUE"""),"Felipe Addor e Camila Rolim Laricchia (org.)")</f>
        <v>Felipe Addor e Camila Rolim Laricchia (org.)</v>
      </c>
      <c r="C270" s="24" t="str">
        <f>IFERROR(__xludf.DUMMYFUNCTION("""COMPUTED_VALUE"""),"Rio de Janeiro")</f>
        <v>Rio de Janeiro</v>
      </c>
      <c r="D270" s="24" t="str">
        <f>IFERROR(__xludf.DUMMYFUNCTION("""COMPUTED_VALUE"""),"Editora UFRJ")</f>
        <v>Editora UFRJ</v>
      </c>
      <c r="E270" s="25">
        <f>IFERROR(__xludf.DUMMYFUNCTION("""COMPUTED_VALUE"""),2018.0)</f>
        <v>2018</v>
      </c>
      <c r="F270" s="24" t="str">
        <f>IFERROR(__xludf.DUMMYFUNCTION("""COMPUTED_VALUE"""),"Extensão universitária; Desenvolvimento social; Incubadoras tecnológicas; Economia solidária")</f>
        <v>Extensão universitária; Desenvolvimento social; Incubadoras tecnológicas; Economia solidária</v>
      </c>
      <c r="G270" s="28" t="str">
        <f>IFERROR(__xludf.DUMMYFUNCTION("""COMPUTED_VALUE"""),"9788571084421")</f>
        <v>9788571084421</v>
      </c>
      <c r="H270" s="29" t="str">
        <f>IFERROR(__xludf.DUMMYFUNCTION("""COMPUTED_VALUE"""),"http://www.editora.ufrj.br/DynamicItems/livrosabertos-1/Incubadoras-Tecnologicas-v1.pdf")</f>
        <v>http://www.editora.ufrj.br/DynamicItems/livrosabertos-1/Incubadoras-Tecnologicas-v1.pdf</v>
      </c>
      <c r="I270" s="24" t="str">
        <f>IFERROR(__xludf.DUMMYFUNCTION("""COMPUTED_VALUE"""),"Ciências Sociais Aplicadas")</f>
        <v>Ciências Sociais Aplicadas</v>
      </c>
    </row>
    <row r="271">
      <c r="A271" s="24" t="str">
        <f>IFERROR(__xludf.DUMMYFUNCTION("""COMPUTED_VALUE"""),"Incubadoras tecnológicas de economia solidária: concepção, metodologia e avaliação - volume 2")</f>
        <v>Incubadoras tecnológicas de economia solidária: concepção, metodologia e avaliação - volume 2</v>
      </c>
      <c r="B271" s="24" t="str">
        <f>IFERROR(__xludf.DUMMYFUNCTION("""COMPUTED_VALUE"""),"Felipe Addor e Camila Rolim Laricchia (org.)")</f>
        <v>Felipe Addor e Camila Rolim Laricchia (org.)</v>
      </c>
      <c r="C271" s="24" t="str">
        <f>IFERROR(__xludf.DUMMYFUNCTION("""COMPUTED_VALUE"""),"Rio de Janeiro")</f>
        <v>Rio de Janeiro</v>
      </c>
      <c r="D271" s="24" t="str">
        <f>IFERROR(__xludf.DUMMYFUNCTION("""COMPUTED_VALUE"""),"Editora UFRJ")</f>
        <v>Editora UFRJ</v>
      </c>
      <c r="E271" s="25">
        <f>IFERROR(__xludf.DUMMYFUNCTION("""COMPUTED_VALUE"""),2018.0)</f>
        <v>2018</v>
      </c>
      <c r="F271" s="24" t="str">
        <f>IFERROR(__xludf.DUMMYFUNCTION("""COMPUTED_VALUE"""),"Extensão universitária; Desenvolvimento social; Incubadoras tecnológicas; Economia solidária")</f>
        <v>Extensão universitária; Desenvolvimento social; Incubadoras tecnológicas; Economia solidária</v>
      </c>
      <c r="G271" s="28" t="str">
        <f>IFERROR(__xludf.DUMMYFUNCTION("""COMPUTED_VALUE"""),"9788571084438")</f>
        <v>9788571084438</v>
      </c>
      <c r="H271" s="29" t="str">
        <f>IFERROR(__xludf.DUMMYFUNCTION("""COMPUTED_VALUE"""),"http://www.editora.ufrj.br/DynamicItems/livrosabertos-1/Incubadoras-Tecnologicas-v2.pdf")</f>
        <v>http://www.editora.ufrj.br/DynamicItems/livrosabertos-1/Incubadoras-Tecnologicas-v2.pdf</v>
      </c>
      <c r="I271" s="24" t="str">
        <f>IFERROR(__xludf.DUMMYFUNCTION("""COMPUTED_VALUE"""),"Ciências Sociais Aplicadas")</f>
        <v>Ciências Sociais Aplicadas</v>
      </c>
    </row>
    <row r="272">
      <c r="A272" s="24" t="str">
        <f>IFERROR(__xludf.DUMMYFUNCTION("""COMPUTED_VALUE"""),"Incursões e travessias culturais para pensar o campo da comunicação")</f>
        <v>Incursões e travessias culturais para pensar o campo da comunicação</v>
      </c>
      <c r="B272" s="24" t="str">
        <f>IFERROR(__xludf.DUMMYFUNCTION("""COMPUTED_VALUE"""),"Robéria Nádia Araújo Nascimento; Verônica Almeida de Oliveira Lima (org.); ")</f>
        <v>Robéria Nádia Araújo Nascimento; Verônica Almeida de Oliveira Lima (org.); </v>
      </c>
      <c r="C272" s="24" t="str">
        <f>IFERROR(__xludf.DUMMYFUNCTION("""COMPUTED_VALUE"""),"Campina Grande")</f>
        <v>Campina Grande</v>
      </c>
      <c r="D272" s="24" t="str">
        <f>IFERROR(__xludf.DUMMYFUNCTION("""COMPUTED_VALUE"""),"EDUEPB")</f>
        <v>EDUEPB</v>
      </c>
      <c r="E272" s="25">
        <f>IFERROR(__xludf.DUMMYFUNCTION("""COMPUTED_VALUE"""),2019.0)</f>
        <v>2019</v>
      </c>
      <c r="F272" s="24" t="str">
        <f>IFERROR(__xludf.DUMMYFUNCTION("""COMPUTED_VALUE"""),"Comunicação social. Informática e comunicação. Empoderamento social. Mídias sociais e política")</f>
        <v>Comunicação social. Informática e comunicação. Empoderamento social. Mídias sociais e política</v>
      </c>
      <c r="G272" s="28" t="str">
        <f>IFERROR(__xludf.DUMMYFUNCTION("""COMPUTED_VALUE"""),"9788578796082")</f>
        <v>9788578796082</v>
      </c>
      <c r="H272" s="29" t="str">
        <f>IFERROR(__xludf.DUMMYFUNCTION("""COMPUTED_VALUE"""),"http://eduepb.uepb.edu.br/download/incursoes-e-travessias/?wpdmdl=984&amp;#038;masterkey=5e70efebd3466")</f>
        <v>http://eduepb.uepb.edu.br/download/incursoes-e-travessias/?wpdmdl=984&amp;#038;masterkey=5e70efebd3466</v>
      </c>
      <c r="I272" s="24" t="str">
        <f>IFERROR(__xludf.DUMMYFUNCTION("""COMPUTED_VALUE"""),"Ciências Sociais Aplicadas")</f>
        <v>Ciências Sociais Aplicadas</v>
      </c>
    </row>
    <row r="273">
      <c r="A273" s="24" t="str">
        <f>IFERROR(__xludf.DUMMYFUNCTION("""COMPUTED_VALUE"""),"Informação e Inclusão : construto teórico-prático na pós-modernidade")</f>
        <v>Informação e Inclusão : construto teórico-prático na pós-modernidade</v>
      </c>
      <c r="B273" s="24" t="str">
        <f>IFERROR(__xludf.DUMMYFUNCTION("""COMPUTED_VALUE"""),"Izabel França de Lima; Fabiana da Silva França (org.)")</f>
        <v>Izabel França de Lima; Fabiana da Silva França (org.)</v>
      </c>
      <c r="C273" s="24" t="str">
        <f>IFERROR(__xludf.DUMMYFUNCTION("""COMPUTED_VALUE"""),"Campina Grande")</f>
        <v>Campina Grande</v>
      </c>
      <c r="D273" s="24" t="str">
        <f>IFERROR(__xludf.DUMMYFUNCTION("""COMPUTED_VALUE"""),"EDUEPB")</f>
        <v>EDUEPB</v>
      </c>
      <c r="E273" s="25">
        <f>IFERROR(__xludf.DUMMYFUNCTION("""COMPUTED_VALUE"""),2020.0)</f>
        <v>2020</v>
      </c>
      <c r="F273" s="24" t="str">
        <f>IFERROR(__xludf.DUMMYFUNCTION("""COMPUTED_VALUE"""),"Ciência da Informação. Informação - Acessibilidade. Sociedade inclusiva. Diversidade social")</f>
        <v>Ciência da Informação. Informação - Acessibilidade. Sociedade inclusiva. Diversidade social</v>
      </c>
      <c r="G273" s="28" t="str">
        <f>IFERROR(__xludf.DUMMYFUNCTION("""COMPUTED_VALUE"""),"9786586221046")</f>
        <v>9786586221046</v>
      </c>
      <c r="H273" s="29" t="str">
        <f>IFERROR(__xludf.DUMMYFUNCTION("""COMPUTED_VALUE"""),"http://eduepb.uepb.edu.br/download/informacao-e-inclusao/?wpdmdl=1012&amp;#038;masterkey=5ea82c3247004")</f>
        <v>http://eduepb.uepb.edu.br/download/informacao-e-inclusao/?wpdmdl=1012&amp;#038;masterkey=5ea82c3247004</v>
      </c>
      <c r="I273" s="24" t="str">
        <f>IFERROR(__xludf.DUMMYFUNCTION("""COMPUTED_VALUE"""),"Ciências Sociais Aplicadas")</f>
        <v>Ciências Sociais Aplicadas</v>
      </c>
    </row>
    <row r="274">
      <c r="A274" s="24" t="str">
        <f>IFERROR(__xludf.DUMMYFUNCTION("""COMPUTED_VALUE"""),"Informação e tecnologias: desenhando fronteiras científicas (disponível temporariamente)")</f>
        <v>Informação e tecnologias: desenhando fronteiras científicas (disponível temporariamente)</v>
      </c>
      <c r="B274" s="24" t="str">
        <f>IFERROR(__xludf.DUMMYFUNCTION("""COMPUTED_VALUE"""),"Silvana Aparecida Borsetti Gregorio Vidotti; Henry Poncio Cruz de Oliveira")</f>
        <v>Silvana Aparecida Borsetti Gregorio Vidotti; Henry Poncio Cruz de Oliveira</v>
      </c>
      <c r="C274" s="24" t="str">
        <f>IFERROR(__xludf.DUMMYFUNCTION("""COMPUTED_VALUE"""),"João Pessoa")</f>
        <v>João Pessoa</v>
      </c>
      <c r="D274" s="24" t="str">
        <f>IFERROR(__xludf.DUMMYFUNCTION("""COMPUTED_VALUE"""),"Editora da UFPB")</f>
        <v>Editora da UFPB</v>
      </c>
      <c r="E274" s="25">
        <f>IFERROR(__xludf.DUMMYFUNCTION("""COMPUTED_VALUE"""),2018.0)</f>
        <v>2018</v>
      </c>
      <c r="F274" s="24" t="str">
        <f>IFERROR(__xludf.DUMMYFUNCTION("""COMPUTED_VALUE"""),"Ciência da informação. Repositórios digitais. Informação e tecnologia. Sistemas de informação. Arquitetura da informação")</f>
        <v>Ciência da informação. Repositórios digitais. Informação e tecnologia. Sistemas de informação. Arquitetura da informação</v>
      </c>
      <c r="G274" s="28" t="str">
        <f>IFERROR(__xludf.DUMMYFUNCTION("""COMPUTED_VALUE"""),"9788523713287")</f>
        <v>9788523713287</v>
      </c>
      <c r="H274" s="29" t="str">
        <f>IFERROR(__xludf.DUMMYFUNCTION("""COMPUTED_VALUE"""),"http://www.editora.ufpb.br/sistema/press5/index.php/UFPB/catalog/book/246")</f>
        <v>http://www.editora.ufpb.br/sistema/press5/index.php/UFPB/catalog/book/246</v>
      </c>
      <c r="I274" s="24" t="str">
        <f>IFERROR(__xludf.DUMMYFUNCTION("""COMPUTED_VALUE"""),"Ciências Sociais Aplicadas")</f>
        <v>Ciências Sociais Aplicadas</v>
      </c>
    </row>
    <row r="275">
      <c r="A275" s="24" t="str">
        <f>IFERROR(__xludf.DUMMYFUNCTION("""COMPUTED_VALUE"""),"Infraestrutura urbana: um olhar para a cidade")</f>
        <v>Infraestrutura urbana: um olhar para a cidade</v>
      </c>
      <c r="B275" s="24" t="str">
        <f>IFERROR(__xludf.DUMMYFUNCTION("""COMPUTED_VALUE"""),"Anderson Saccol Ferreira")</f>
        <v>Anderson Saccol Ferreira</v>
      </c>
      <c r="C275" s="24" t="str">
        <f>IFERROR(__xludf.DUMMYFUNCTION("""COMPUTED_VALUE"""),"Joaçaba")</f>
        <v>Joaçaba</v>
      </c>
      <c r="D275" s="24" t="str">
        <f>IFERROR(__xludf.DUMMYFUNCTION("""COMPUTED_VALUE"""),"Unoesc")</f>
        <v>Unoesc</v>
      </c>
      <c r="E275" s="25">
        <f>IFERROR(__xludf.DUMMYFUNCTION("""COMPUTED_VALUE"""),2020.0)</f>
        <v>2020</v>
      </c>
      <c r="F275" s="24" t="str">
        <f>IFERROR(__xludf.DUMMYFUNCTION("""COMPUTED_VALUE"""),"Planejamento urbano Cidades e vilas Crescimento urbano")</f>
        <v>Planejamento urbano Cidades e vilas Crescimento urbano</v>
      </c>
      <c r="G275" s="28" t="str">
        <f>IFERROR(__xludf.DUMMYFUNCTION("""COMPUTED_VALUE"""),"9786586158199")</f>
        <v>9786586158199</v>
      </c>
      <c r="H275" s="29" t="str">
        <f>IFERROR(__xludf.DUMMYFUNCTION("""COMPUTED_VALUE"""),"https://www.unoesc.edu.br/images/uploads/editora/infraestrutura_urbana.pdf")</f>
        <v>https://www.unoesc.edu.br/images/uploads/editora/infraestrutura_urbana.pdf</v>
      </c>
      <c r="I275" s="24" t="str">
        <f>IFERROR(__xludf.DUMMYFUNCTION("""COMPUTED_VALUE"""),"Ciências Sociais Aplicadas")</f>
        <v>Ciências Sociais Aplicadas</v>
      </c>
    </row>
    <row r="276">
      <c r="A276" s="24" t="str">
        <f>IFERROR(__xludf.DUMMYFUNCTION("""COMPUTED_VALUE"""),"Inovação em biblioteconomia: temas transversais*")</f>
        <v>Inovação em biblioteconomia: temas transversais*</v>
      </c>
      <c r="B276" s="24" t="str">
        <f>IFERROR(__xludf.DUMMYFUNCTION("""COMPUTED_VALUE"""),"Danielly Oliveira Inomata; Orestes Trevisol; Neto")</f>
        <v>Danielly Oliveira Inomata; Orestes Trevisol; Neto</v>
      </c>
      <c r="C276" s="24" t="str">
        <f>IFERROR(__xludf.DUMMYFUNCTION("""COMPUTED_VALUE"""),"Chapecó")</f>
        <v>Chapecó</v>
      </c>
      <c r="D276" s="24" t="str">
        <f>IFERROR(__xludf.DUMMYFUNCTION("""COMPUTED_VALUE"""),"Argos")</f>
        <v>Argos</v>
      </c>
      <c r="E276" s="25">
        <f>IFERROR(__xludf.DUMMYFUNCTION("""COMPUTED_VALUE"""),2018.0)</f>
        <v>2018</v>
      </c>
      <c r="F276" s="24" t="str">
        <f>IFERROR(__xludf.DUMMYFUNCTION("""COMPUTED_VALUE"""),"BookTube; Branding; Biblioteconomia")</f>
        <v>BookTube; Branding; Biblioteconomia</v>
      </c>
      <c r="G276" s="28" t="str">
        <f>IFERROR(__xludf.DUMMYFUNCTION("""COMPUTED_VALUE"""),"9788578972899")</f>
        <v>9788578972899</v>
      </c>
      <c r="H276" s="29" t="str">
        <f>IFERROR(__xludf.DUMMYFUNCTION("""COMPUTED_VALUE"""),"https://www.editoraargos.com.br/farol/editoraargos/ebook/inovacao-em-biblioteconomia-temas-transversais/707862/")</f>
        <v>https://www.editoraargos.com.br/farol/editoraargos/ebook/inovacao-em-biblioteconomia-temas-transversais/707862/</v>
      </c>
      <c r="I276" s="24" t="str">
        <f>IFERROR(__xludf.DUMMYFUNCTION("""COMPUTED_VALUE"""),"Ciências Sociais Aplicadas")</f>
        <v>Ciências Sociais Aplicadas</v>
      </c>
    </row>
    <row r="277">
      <c r="A277" s="24" t="str">
        <f>IFERROR(__xludf.DUMMYFUNCTION("""COMPUTED_VALUE"""),"Inovações e trabalho : o direito do trabalho em tempos de mudança")</f>
        <v>Inovações e trabalho : o direito do trabalho em tempos de mudança</v>
      </c>
      <c r="B277" s="24" t="str">
        <f>IFERROR(__xludf.DUMMYFUNCTION("""COMPUTED_VALUE"""),"Barzotto, Luciane Cardoso ")</f>
        <v>Barzotto, Luciane Cardoso </v>
      </c>
      <c r="C277" s="24" t="str">
        <f>IFERROR(__xludf.DUMMYFUNCTION("""COMPUTED_VALUE"""),"Porto Alegre")</f>
        <v>Porto Alegre</v>
      </c>
      <c r="D277" s="24" t="str">
        <f>IFERROR(__xludf.DUMMYFUNCTION("""COMPUTED_VALUE"""),"UFRGS")</f>
        <v>UFRGS</v>
      </c>
      <c r="E277" s="25">
        <f>IFERROR(__xludf.DUMMYFUNCTION("""COMPUTED_VALUE"""),2020.0)</f>
        <v>2020</v>
      </c>
      <c r="F277" s="24" t="str">
        <f>IFERROR(__xludf.DUMMYFUNCTION("""COMPUTED_VALUE"""),"Direito do trabalho; Leis trabalhistas; Organização internacional do trabalho; Relações trabalhistas")</f>
        <v>Direito do trabalho; Leis trabalhistas; Organização internacional do trabalho; Relações trabalhistas</v>
      </c>
      <c r="G277" s="28" t="str">
        <f>IFERROR(__xludf.DUMMYFUNCTION("""COMPUTED_VALUE"""),"9786557250174")</f>
        <v>9786557250174</v>
      </c>
      <c r="H277" s="29" t="str">
        <f>IFERROR(__xludf.DUMMYFUNCTION("""COMPUTED_VALUE"""),"http://hdl.handle.net/10183/213592")</f>
        <v>http://hdl.handle.net/10183/213592</v>
      </c>
      <c r="I277" s="24" t="str">
        <f>IFERROR(__xludf.DUMMYFUNCTION("""COMPUTED_VALUE"""),"Ciências Sociais Aplicadas")</f>
        <v>Ciências Sociais Aplicadas</v>
      </c>
    </row>
    <row r="278">
      <c r="A278" s="24" t="str">
        <f>IFERROR(__xludf.DUMMYFUNCTION("""COMPUTED_VALUE"""),"Inserção dos atores subnacionais no processo de integração regional: o caso do Mercosul")</f>
        <v>Inserção dos atores subnacionais no processo de integração regional: o caso do Mercosul</v>
      </c>
      <c r="B278" s="24" t="str">
        <f>IFERROR(__xludf.DUMMYFUNCTION("""COMPUTED_VALUE"""),"Henrique Sartori de Almeida Prado")</f>
        <v>Henrique Sartori de Almeida Prado</v>
      </c>
      <c r="C278" s="24" t="str">
        <f>IFERROR(__xludf.DUMMYFUNCTION("""COMPUTED_VALUE"""),"Dourados, MS")</f>
        <v>Dourados, MS</v>
      </c>
      <c r="D278" s="24" t="str">
        <f>IFERROR(__xludf.DUMMYFUNCTION("""COMPUTED_VALUE"""),"Ed. da UFGD")</f>
        <v>Ed. da UFGD</v>
      </c>
      <c r="E278" s="25">
        <f>IFERROR(__xludf.DUMMYFUNCTION("""COMPUTED_VALUE"""),2013.0)</f>
        <v>2013</v>
      </c>
      <c r="F278" s="24" t="str">
        <f>IFERROR(__xludf.DUMMYFUNCTION("""COMPUTED_VALUE"""),"Relações internacionais; Integração regional")</f>
        <v>Relações internacionais; Integração regional</v>
      </c>
      <c r="G278" s="28" t="str">
        <f>IFERROR(__xludf.DUMMYFUNCTION("""COMPUTED_VALUE"""),"9788581470511")</f>
        <v>9788581470511</v>
      </c>
      <c r="H278" s="29" t="str">
        <f>IFERROR(__xludf.DUMMYFUNCTION("""COMPUTED_VALUE"""),"http://omp.ufgd.edu.br/omp/index.php/livrosabertos/catalog/view/125/218/499-1")</f>
        <v>http://omp.ufgd.edu.br/omp/index.php/livrosabertos/catalog/view/125/218/499-1</v>
      </c>
      <c r="I278" s="24" t="str">
        <f>IFERROR(__xludf.DUMMYFUNCTION("""COMPUTED_VALUE"""),"Ciências Sociais Aplicadas")</f>
        <v>Ciências Sociais Aplicadas</v>
      </c>
    </row>
    <row r="279">
      <c r="A279" s="24" t="str">
        <f>IFERROR(__xludf.DUMMYFUNCTION("""COMPUTED_VALUE"""),"Interiorização do ensino superior: protagonismo das universidades estaduais e municipais no desenvolvimento regional")</f>
        <v>Interiorização do ensino superior: protagonismo das universidades estaduais e municipais no desenvolvimento regional</v>
      </c>
      <c r="B279" s="24" t="str">
        <f>IFERROR(__xludf.DUMMYFUNCTION("""COMPUTED_VALUE"""),"Elenita Conegero Pastor Manchope; Andréa de Araújo; Dayse Lago de Miranda; Fabiano Gonçalves Costa; Gladis Massini-Cagliari; Nara Lúcia Perondi Fortes; Paulo Sérgio Wolff; Soraia Cristina Tonon da Luz; Vera Maquêa (org.)")</f>
        <v>Elenita Conegero Pastor Manchope; Andréa de Araújo; Dayse Lago de Miranda; Fabiano Gonçalves Costa; Gladis Massini-Cagliari; Nara Lúcia Perondi Fortes; Paulo Sérgio Wolff; Soraia Cristina Tonon da Luz; Vera Maquêa (org.)</v>
      </c>
      <c r="C279" s="24" t="str">
        <f>IFERROR(__xludf.DUMMYFUNCTION("""COMPUTED_VALUE"""),"Cascavel, PR")</f>
        <v>Cascavel, PR</v>
      </c>
      <c r="D279" s="24" t="str">
        <f>IFERROR(__xludf.DUMMYFUNCTION("""COMPUTED_VALUE"""),"EDUNIOESTE")</f>
        <v>EDUNIOESTE</v>
      </c>
      <c r="E279" s="25">
        <f>IFERROR(__xludf.DUMMYFUNCTION("""COMPUTED_VALUE"""),2018.0)</f>
        <v>2018</v>
      </c>
      <c r="F279" s="24" t="str">
        <f>IFERROR(__xludf.DUMMYFUNCTION("""COMPUTED_VALUE"""),"Ensino superior. Universidades estaduais. Universidades municipais. Desenvolvimento regional")</f>
        <v>Ensino superior. Universidades estaduais. Universidades municipais. Desenvolvimento regional</v>
      </c>
      <c r="G279" s="28" t="str">
        <f>IFERROR(__xludf.DUMMYFUNCTION("""COMPUTED_VALUE"""),"9788576443452")</f>
        <v>9788576443452</v>
      </c>
      <c r="H279" s="29" t="str">
        <f>IFERROR(__xludf.DUMMYFUNCTION("""COMPUTED_VALUE"""),"https://portal-archipelagus.azurewebsites.net/farol/edunioeste/ebook/interiorizacao-do-ensino-superior-protagonismo-das-universidades-estaduais-e-municipais-no-desenvolvimento-regional/1113970/")</f>
        <v>https://portal-archipelagus.azurewebsites.net/farol/edunioeste/ebook/interiorizacao-do-ensino-superior-protagonismo-das-universidades-estaduais-e-municipais-no-desenvolvimento-regional/1113970/</v>
      </c>
      <c r="I279" s="24" t="str">
        <f>IFERROR(__xludf.DUMMYFUNCTION("""COMPUTED_VALUE"""),"Ciências Sociais Aplicadas")</f>
        <v>Ciências Sociais Aplicadas</v>
      </c>
    </row>
    <row r="280">
      <c r="A280" s="24" t="str">
        <f>IFERROR(__xludf.DUMMYFUNCTION("""COMPUTED_VALUE"""),"Interiorização do ensino superior: protagonismo das universidades estaduais e municipais no desenvolvimento regional*")</f>
        <v>Interiorização do ensino superior: protagonismo das universidades estaduais e municipais no desenvolvimento regional*</v>
      </c>
      <c r="B280" s="24" t="str">
        <f>IFERROR(__xludf.DUMMYFUNCTION("""COMPUTED_VALUE"""),"Elenita conegero Manchope")</f>
        <v>Elenita conegero Manchope</v>
      </c>
      <c r="C280" s="24" t="str">
        <f>IFERROR(__xludf.DUMMYFUNCTION("""COMPUTED_VALUE"""),"Ponta Grossa")</f>
        <v>Ponta Grossa</v>
      </c>
      <c r="D280" s="24" t="str">
        <f>IFERROR(__xludf.DUMMYFUNCTION("""COMPUTED_VALUE"""),"Editora UEPG")</f>
        <v>Editora UEPG</v>
      </c>
      <c r="E280" s="25">
        <f>IFERROR(__xludf.DUMMYFUNCTION("""COMPUTED_VALUE"""),2018.0)</f>
        <v>2018</v>
      </c>
      <c r="F280" s="24" t="str">
        <f>IFERROR(__xludf.DUMMYFUNCTION("""COMPUTED_VALUE"""),"Permanência dos estudantes nas Universidades")</f>
        <v>Permanência dos estudantes nas Universidades</v>
      </c>
      <c r="G280" s="28" t="str">
        <f>IFERROR(__xludf.DUMMYFUNCTION("""COMPUTED_VALUE"""),"9788576443452")</f>
        <v>9788576443452</v>
      </c>
      <c r="H280" s="29" t="str">
        <f>IFERROR(__xludf.DUMMYFUNCTION("""COMPUTED_VALUE"""),"https://portal-archipelagus.azurewebsites.net/farol/edunioeste/ebook/interiorizacao-do-ensino-superior-protagonismo-das-universidades-estaduais-e-municipais-no-desenvolvimento-regional/1113970/")</f>
        <v>https://portal-archipelagus.azurewebsites.net/farol/edunioeste/ebook/interiorizacao-do-ensino-superior-protagonismo-das-universidades-estaduais-e-municipais-no-desenvolvimento-regional/1113970/</v>
      </c>
      <c r="I280" s="24" t="str">
        <f>IFERROR(__xludf.DUMMYFUNCTION("""COMPUTED_VALUE"""),"Ciências Sociais Aplicadas")</f>
        <v>Ciências Sociais Aplicadas</v>
      </c>
    </row>
    <row r="281">
      <c r="A281" s="24" t="str">
        <f>IFERROR(__xludf.DUMMYFUNCTION("""COMPUTED_VALUE"""),"Internet e comunicação científica no Brasil: quais impactos? Quais mudanças?")</f>
        <v>Internet e comunicação científica no Brasil: quais impactos? Quais mudanças?</v>
      </c>
      <c r="B281" s="24" t="str">
        <f>IFERROR(__xludf.DUMMYFUNCTION("""COMPUTED_VALUE"""),"Cristiane de Magalhães Porto")</f>
        <v>Cristiane de Magalhães Porto</v>
      </c>
      <c r="C281" s="24" t="str">
        <f>IFERROR(__xludf.DUMMYFUNCTION("""COMPUTED_VALUE"""),"Salvador")</f>
        <v>Salvador</v>
      </c>
      <c r="D281" s="24" t="str">
        <f>IFERROR(__xludf.DUMMYFUNCTION("""COMPUTED_VALUE"""),"EDUFBA")</f>
        <v>EDUFBA</v>
      </c>
      <c r="E281" s="25">
        <f>IFERROR(__xludf.DUMMYFUNCTION("""COMPUTED_VALUE"""),2012.0)</f>
        <v>2012</v>
      </c>
      <c r="F281" s="24" t="str">
        <f>IFERROR(__xludf.DUMMYFUNCTION("""COMPUTED_VALUE"""),"Comunicação na ciência; Notícias científicas; Internet; Difusão de inovações; Sociedade da informação")</f>
        <v>Comunicação na ciência; Notícias científicas; Internet; Difusão de inovações; Sociedade da informação</v>
      </c>
      <c r="G281" s="28" t="str">
        <f>IFERROR(__xludf.DUMMYFUNCTION("""COMPUTED_VALUE"""),"9788523210038")</f>
        <v>9788523210038</v>
      </c>
      <c r="H281" s="29" t="str">
        <f>IFERROR(__xludf.DUMMYFUNCTION("""COMPUTED_VALUE"""),"http://www.repositorio.ufba.br/ri/handle/ri/6845")</f>
        <v>http://www.repositorio.ufba.br/ri/handle/ri/6845</v>
      </c>
      <c r="I281" s="24" t="str">
        <f>IFERROR(__xludf.DUMMYFUNCTION("""COMPUTED_VALUE"""),"Ciências Sociais Aplicadas")</f>
        <v>Ciências Sociais Aplicadas</v>
      </c>
    </row>
    <row r="282">
      <c r="A282" s="24" t="str">
        <f>IFERROR(__xludf.DUMMYFUNCTION("""COMPUTED_VALUE"""),"Intervencionismo estatal e ideologia desenvolvimentista: estudo sobre a CODEPAR - Companhia de Desenvolvimento Econômico do Paraná")</f>
        <v>Intervencionismo estatal e ideologia desenvolvimentista: estudo sobre a CODEPAR - Companhia de Desenvolvimento Econômico do Paraná</v>
      </c>
      <c r="B282" s="24" t="str">
        <f>IFERROR(__xludf.DUMMYFUNCTION("""COMPUTED_VALUE"""),"Augusto, Maria Helena Olliva")</f>
        <v>Augusto, Maria Helena Olliva</v>
      </c>
      <c r="C282" s="24" t="str">
        <f>IFERROR(__xludf.DUMMYFUNCTION("""COMPUTED_VALUE"""),"Curitiba")</f>
        <v>Curitiba</v>
      </c>
      <c r="D282" s="24" t="str">
        <f>IFERROR(__xludf.DUMMYFUNCTION("""COMPUTED_VALUE"""),"UFPR")</f>
        <v>UFPR</v>
      </c>
      <c r="E282" s="25">
        <f>IFERROR(__xludf.DUMMYFUNCTION("""COMPUTED_VALUE"""),2017.0)</f>
        <v>2017</v>
      </c>
      <c r="F282" s="24" t="str">
        <f>IFERROR(__xludf.DUMMYFUNCTION("""COMPUTED_VALUE"""),"Companhia de Desenvolvimento Econômico do Paraná; Desenvolvimento econômico do Paraná; Paraná - Condições econômicas")</f>
        <v>Companhia de Desenvolvimento Econômico do Paraná; Desenvolvimento econômico do Paraná; Paraná - Condições econômicas</v>
      </c>
      <c r="G282" s="28" t="str">
        <f>IFERROR(__xludf.DUMMYFUNCTION("""COMPUTED_VALUE"""),"9788584800742")</f>
        <v>9788584800742</v>
      </c>
      <c r="H282" s="29" t="str">
        <f>IFERROR(__xludf.DUMMYFUNCTION("""COMPUTED_VALUE"""),"https://hdl.handle.net/1884/68161")</f>
        <v>https://hdl.handle.net/1884/68161</v>
      </c>
      <c r="I282" s="24" t="str">
        <f>IFERROR(__xludf.DUMMYFUNCTION("""COMPUTED_VALUE"""),"Ciências Sociais Aplicadas")</f>
        <v>Ciências Sociais Aplicadas</v>
      </c>
    </row>
    <row r="283">
      <c r="A283" s="24" t="str">
        <f>IFERROR(__xludf.DUMMYFUNCTION("""COMPUTED_VALUE"""),"Introdução à ciência da informação")</f>
        <v>Introdução à ciência da informação</v>
      </c>
      <c r="B283" s="24" t="str">
        <f>IFERROR(__xludf.DUMMYFUNCTION("""COMPUTED_VALUE"""),"Gustavo Henrique de Araújo Freire; Isa Maria Freire")</f>
        <v>Gustavo Henrique de Araújo Freire; Isa Maria Freire</v>
      </c>
      <c r="C283" s="24" t="str">
        <f>IFERROR(__xludf.DUMMYFUNCTION("""COMPUTED_VALUE"""),"João Pessoa")</f>
        <v>João Pessoa</v>
      </c>
      <c r="D283" s="24" t="str">
        <f>IFERROR(__xludf.DUMMYFUNCTION("""COMPUTED_VALUE"""),"Editora da UFPB")</f>
        <v>Editora da UFPB</v>
      </c>
      <c r="E283" s="25">
        <f>IFERROR(__xludf.DUMMYFUNCTION("""COMPUTED_VALUE"""),2015.0)</f>
        <v>2015</v>
      </c>
      <c r="F283" s="24" t="str">
        <f>IFERROR(__xludf.DUMMYFUNCTION("""COMPUTED_VALUE"""),"Ciência da informação. Informação - campo científico. Sociedade da informação - aprendizado contínuo. Informação - redes de comunicação")</f>
        <v>Ciência da informação. Informação - campo científico. Sociedade da informação - aprendizado contínuo. Informação - redes de comunicação</v>
      </c>
      <c r="G283" s="28" t="str">
        <f>IFERROR(__xludf.DUMMYFUNCTION("""COMPUTED_VALUE"""),"9788523710248")</f>
        <v>9788523710248</v>
      </c>
      <c r="H283" s="29" t="str">
        <f>IFERROR(__xludf.DUMMYFUNCTION("""COMPUTED_VALUE"""),"http://www.editora.ufpb.br/sistema/press5/index.php/UFPB/catalog/book/242")</f>
        <v>http://www.editora.ufpb.br/sistema/press5/index.php/UFPB/catalog/book/242</v>
      </c>
      <c r="I283" s="24" t="str">
        <f>IFERROR(__xludf.DUMMYFUNCTION("""COMPUTED_VALUE"""),"Ciências Sociais Aplicadas")</f>
        <v>Ciências Sociais Aplicadas</v>
      </c>
    </row>
    <row r="284">
      <c r="A284" s="24" t="str">
        <f>IFERROR(__xludf.DUMMYFUNCTION("""COMPUTED_VALUE"""),"Introdução à engenharia de segurança do trabalho")</f>
        <v>Introdução à engenharia de segurança do trabalho</v>
      </c>
      <c r="B284" s="24" t="str">
        <f>IFERROR(__xludf.DUMMYFUNCTION("""COMPUTED_VALUE"""),"Bristot, Vilson Menegon")</f>
        <v>Bristot, Vilson Menegon</v>
      </c>
      <c r="C284" s="24" t="str">
        <f>IFERROR(__xludf.DUMMYFUNCTION("""COMPUTED_VALUE"""),"Criciúma")</f>
        <v>Criciúma</v>
      </c>
      <c r="D284" s="24" t="str">
        <f>IFERROR(__xludf.DUMMYFUNCTION("""COMPUTED_VALUE"""),"UNESC")</f>
        <v>UNESC</v>
      </c>
      <c r="E284" s="25">
        <f>IFERROR(__xludf.DUMMYFUNCTION("""COMPUTED_VALUE"""),2019.0)</f>
        <v>2019</v>
      </c>
      <c r="F284" s="24" t="str">
        <f>IFERROR(__xludf.DUMMYFUNCTION("""COMPUTED_VALUE"""),"Segurança do trabalho; Acidentes de trabalho - Prevenção; Prevenção de incêndio; Riscos ocupacionais; Higiene do trabalho; Ergonomia")</f>
        <v>Segurança do trabalho; Acidentes de trabalho - Prevenção; Prevenção de incêndio; Riscos ocupacionais; Higiene do trabalho; Ergonomia</v>
      </c>
      <c r="G284" s="28" t="str">
        <f>IFERROR(__xludf.DUMMYFUNCTION("""COMPUTED_VALUE"""),"9788584101030")</f>
        <v>9788584101030</v>
      </c>
      <c r="H284" s="29" t="str">
        <f>IFERROR(__xludf.DUMMYFUNCTION("""COMPUTED_VALUE"""),"http://dx.doi.org/10.18616/seg")</f>
        <v>http://dx.doi.org/10.18616/seg</v>
      </c>
      <c r="I284" s="24" t="str">
        <f>IFERROR(__xludf.DUMMYFUNCTION("""COMPUTED_VALUE"""),"Ciências Sociais Aplicadas")</f>
        <v>Ciências Sociais Aplicadas</v>
      </c>
    </row>
    <row r="285">
      <c r="A285" s="24" t="str">
        <f>IFERROR(__xludf.DUMMYFUNCTION("""COMPUTED_VALUE"""),"Introdução à estratégia de produção.")</f>
        <v>Introdução à estratégia de produção.</v>
      </c>
      <c r="B285" s="24" t="str">
        <f>IFERROR(__xludf.DUMMYFUNCTION("""COMPUTED_VALUE"""),"Luciano Cos- ta Santos, Cláudia Fabiana Gohr.")</f>
        <v>Luciano Cos- ta Santos, Cláudia Fabiana Gohr.</v>
      </c>
      <c r="C285" s="24" t="str">
        <f>IFERROR(__xludf.DUMMYFUNCTION("""COMPUTED_VALUE"""),"Dourados, MS")</f>
        <v>Dourados, MS</v>
      </c>
      <c r="D285" s="24" t="str">
        <f>IFERROR(__xludf.DUMMYFUNCTION("""COMPUTED_VALUE"""),"Ed. da UFGD")</f>
        <v>Ed. da UFGD</v>
      </c>
      <c r="E285" s="25">
        <f>IFERROR(__xludf.DUMMYFUNCTION("""COMPUTED_VALUE"""),2010.0)</f>
        <v>2010</v>
      </c>
      <c r="F285" s="24" t="str">
        <f>IFERROR(__xludf.DUMMYFUNCTION("""COMPUTED_VALUE"""),"Planejamento estratégico; Administração da pro-dução; Planejamento empresarial; Processo deci-sório")</f>
        <v>Planejamento estratégico; Administração da pro-dução; Planejamento empresarial; Processo deci-sório</v>
      </c>
      <c r="G285" s="28" t="str">
        <f>IFERROR(__xludf.DUMMYFUNCTION("""COMPUTED_VALUE"""),"9788561228675")</f>
        <v>9788561228675</v>
      </c>
      <c r="H285" s="29" t="str">
        <f>IFERROR(__xludf.DUMMYFUNCTION("""COMPUTED_VALUE"""),"http://omp.ufgd.edu.br/omp/index.php/livrosabertos/catalog/view/224/117/395-1")</f>
        <v>http://omp.ufgd.edu.br/omp/index.php/livrosabertos/catalog/view/224/117/395-1</v>
      </c>
      <c r="I285" s="24" t="str">
        <f>IFERROR(__xludf.DUMMYFUNCTION("""COMPUTED_VALUE"""),"Ciências Sociais Aplicadas")</f>
        <v>Ciências Sociais Aplicadas</v>
      </c>
    </row>
    <row r="286">
      <c r="A286" s="24" t="str">
        <f>IFERROR(__xludf.DUMMYFUNCTION("""COMPUTED_VALUE"""),"Introdução ao planejamento urbano")</f>
        <v>Introdução ao planejamento urbano</v>
      </c>
      <c r="B286" s="24" t="str">
        <f>IFERROR(__xludf.DUMMYFUNCTION("""COMPUTED_VALUE"""),"Anderson Saccol Ferreira")</f>
        <v>Anderson Saccol Ferreira</v>
      </c>
      <c r="C286" s="24" t="str">
        <f>IFERROR(__xludf.DUMMYFUNCTION("""COMPUTED_VALUE"""),"Joaçaba")</f>
        <v>Joaçaba</v>
      </c>
      <c r="D286" s="24" t="str">
        <f>IFERROR(__xludf.DUMMYFUNCTION("""COMPUTED_VALUE"""),"Unoesc")</f>
        <v>Unoesc</v>
      </c>
      <c r="E286" s="25">
        <f>IFERROR(__xludf.DUMMYFUNCTION("""COMPUTED_VALUE"""),2019.0)</f>
        <v>2019</v>
      </c>
      <c r="F286" s="24" t="str">
        <f>IFERROR(__xludf.DUMMYFUNCTION("""COMPUTED_VALUE"""),"Planejamento urbano, Espaço (Arquitetura); Planejamento regional")</f>
        <v>Planejamento urbano, Espaço (Arquitetura); Planejamento regional</v>
      </c>
      <c r="G286" s="28" t="str">
        <f>IFERROR(__xludf.DUMMYFUNCTION("""COMPUTED_VALUE"""),"9788584222100")</f>
        <v>9788584222100</v>
      </c>
      <c r="H286" s="29" t="str">
        <f>IFERROR(__xludf.DUMMYFUNCTION("""COMPUTED_VALUE"""),"https://www.unoesc.edu.br/images/uploads/editora/Miolo_Introdu%c3%a7%c3%a3o_ao_Planejamento_Urbano.pdf")</f>
        <v>https://www.unoesc.edu.br/images/uploads/editora/Miolo_Introdu%c3%a7%c3%a3o_ao_Planejamento_Urbano.pdf</v>
      </c>
      <c r="I286" s="24" t="str">
        <f>IFERROR(__xludf.DUMMYFUNCTION("""COMPUTED_VALUE"""),"Ciências Sociais Aplicadas")</f>
        <v>Ciências Sociais Aplicadas</v>
      </c>
    </row>
    <row r="287">
      <c r="A287" s="24" t="str">
        <f>IFERROR(__xludf.DUMMYFUNCTION("""COMPUTED_VALUE"""),"Jardins Históricos 2018")</f>
        <v>Jardins Históricos 2018</v>
      </c>
      <c r="B287" s="24" t="str">
        <f>IFERROR(__xludf.DUMMYFUNCTION("""COMPUTED_VALUE"""),"Ana Pessoa | Douglas Fasolato; (org.)")</f>
        <v>Ana Pessoa | Douglas Fasolato; (org.)</v>
      </c>
      <c r="C287" s="24" t="str">
        <f>IFERROR(__xludf.DUMMYFUNCTION("""COMPUTED_VALUE"""),"Rio de Janeiro")</f>
        <v>Rio de Janeiro</v>
      </c>
      <c r="D287" s="24" t="str">
        <f>IFERROR(__xludf.DUMMYFUNCTION("""COMPUTED_VALUE"""),"Fundação Casa de Rui Barbosa")</f>
        <v>Fundação Casa de Rui Barbosa</v>
      </c>
      <c r="E287" s="25">
        <f>IFERROR(__xludf.DUMMYFUNCTION("""COMPUTED_VALUE"""),2018.0)</f>
        <v>2018</v>
      </c>
      <c r="F287" s="24" t="str">
        <f>IFERROR(__xludf.DUMMYFUNCTION("""COMPUTED_VALUE"""),"Jardins históricos. Conservação histórica Gestores de jardins. Fundação Casa de Rui Barbosa. Rede Brasileira de Jardins e Pasiagens")</f>
        <v>Jardins históricos. Conservação histórica Gestores de jardins. Fundação Casa de Rui Barbosa. Rede Brasileira de Jardins e Pasiagens</v>
      </c>
      <c r="G287" s="28" t="str">
        <f>IFERROR(__xludf.DUMMYFUNCTION("""COMPUTED_VALUE"""),"9788570043924")</f>
        <v>9788570043924</v>
      </c>
      <c r="H287" s="29" t="str">
        <f>IFERROR(__xludf.DUMMYFUNCTION("""COMPUTED_VALUE"""),"http://www.casaruibarbosa.gov.br/arquivos/file/LIVRO_JARDINS%20HIST%C3%93RICOS%20-%202018(1).pdf")</f>
        <v>http://www.casaruibarbosa.gov.br/arquivos/file/LIVRO_JARDINS%20HIST%C3%93RICOS%20-%202018(1).pdf</v>
      </c>
      <c r="I287" s="24" t="str">
        <f>IFERROR(__xludf.DUMMYFUNCTION("""COMPUTED_VALUE"""),"Ciências Sociais Aplicadas")</f>
        <v>Ciências Sociais Aplicadas</v>
      </c>
    </row>
    <row r="288">
      <c r="A288" s="24" t="str">
        <f>IFERROR(__xludf.DUMMYFUNCTION("""COMPUTED_VALUE"""),"Jogo de corpo: um estudo de construção social de trabalhadores")</f>
        <v>Jogo de corpo: um estudo de construção social de trabalhadores</v>
      </c>
      <c r="B288" s="24" t="str">
        <f>IFERROR(__xludf.DUMMYFUNCTION("""COMPUTED_VALUE"""),"Simoni Lahud Guedes")</f>
        <v>Simoni Lahud Guedes</v>
      </c>
      <c r="C288" s="24" t="str">
        <f>IFERROR(__xludf.DUMMYFUNCTION("""COMPUTED_VALUE"""),"Niterói, RJ")</f>
        <v>Niterói, RJ</v>
      </c>
      <c r="D288" s="24" t="str">
        <f>IFERROR(__xludf.DUMMYFUNCTION("""COMPUTED_VALUE"""),"EDUFF")</f>
        <v>EDUFF</v>
      </c>
      <c r="E288" s="25">
        <f>IFERROR(__xludf.DUMMYFUNCTION("""COMPUTED_VALUE"""),1997.0)</f>
        <v>1997</v>
      </c>
      <c r="F288" s="24" t="str">
        <f>IFERROR(__xludf.DUMMYFUNCTION("""COMPUTED_VALUE"""),"Trabalhadores – Condições sociais")</f>
        <v>Trabalhadores – Condições sociais</v>
      </c>
      <c r="G288" s="28" t="str">
        <f>IFERROR(__xludf.DUMMYFUNCTION("""COMPUTED_VALUE"""),"8522802157")</f>
        <v>8522802157</v>
      </c>
      <c r="H288" s="29" t="str">
        <f>IFERROR(__xludf.DUMMYFUNCTION("""COMPUTED_VALUE"""),"http://www.eduff.uff.br/ebooks/Jogo-de-corpo.pdf")</f>
        <v>http://www.eduff.uff.br/ebooks/Jogo-de-corpo.pdf</v>
      </c>
      <c r="I288" s="24" t="str">
        <f>IFERROR(__xludf.DUMMYFUNCTION("""COMPUTED_VALUE"""),"Ciências Sociais Aplicadas")</f>
        <v>Ciências Sociais Aplicadas</v>
      </c>
    </row>
    <row r="289">
      <c r="A289" s="24" t="str">
        <f>IFERROR(__xludf.DUMMYFUNCTION("""COMPUTED_VALUE"""),"Jornadas de Junho : Repercussões e Leituras")</f>
        <v>Jornadas de Junho : Repercussões e Leituras</v>
      </c>
      <c r="B289" s="24" t="str">
        <f>IFERROR(__xludf.DUMMYFUNCTION("""COMPUTED_VALUE"""),"Cidoval Morais de Sousa; Arão de Azevêdo Souza (org.)")</f>
        <v>Cidoval Morais de Sousa; Arão de Azevêdo Souza (org.)</v>
      </c>
      <c r="C289" s="24" t="str">
        <f>IFERROR(__xludf.DUMMYFUNCTION("""COMPUTED_VALUE"""),"Campina Grande")</f>
        <v>Campina Grande</v>
      </c>
      <c r="D289" s="24" t="str">
        <f>IFERROR(__xludf.DUMMYFUNCTION("""COMPUTED_VALUE"""),"EDUEPB")</f>
        <v>EDUEPB</v>
      </c>
      <c r="E289" s="25">
        <f>IFERROR(__xludf.DUMMYFUNCTION("""COMPUTED_VALUE"""),2013.0)</f>
        <v>2013</v>
      </c>
      <c r="F289" s="24" t="str">
        <f>IFERROR(__xludf.DUMMYFUNCTION("""COMPUTED_VALUE"""),"Movimentos sociais. Redes sociais. Manifestações ocorridas no Brasil em junho de 2013. Dispositivos midiáticos")</f>
        <v>Movimentos sociais. Redes sociais. Manifestações ocorridas no Brasil em junho de 2013. Dispositivos midiáticos</v>
      </c>
      <c r="G289" s="28" t="str">
        <f>IFERROR(__xludf.DUMMYFUNCTION("""COMPUTED_VALUE"""),"9878578791728")</f>
        <v>9878578791728</v>
      </c>
      <c r="H289" s="29" t="str">
        <f>IFERROR(__xludf.DUMMYFUNCTION("""COMPUTED_VALUE"""),"http://eduepb.uepb.edu.br/download/jornadas-de-junho-repercussoes-e-leituras/?wpdmdl=191&amp;amp;masterkey=5af99ba2f0db2")</f>
        <v>http://eduepb.uepb.edu.br/download/jornadas-de-junho-repercussoes-e-leituras/?wpdmdl=191&amp;amp;masterkey=5af99ba2f0db2</v>
      </c>
      <c r="I289" s="24" t="str">
        <f>IFERROR(__xludf.DUMMYFUNCTION("""COMPUTED_VALUE"""),"Ciências Sociais Aplicadas")</f>
        <v>Ciências Sociais Aplicadas</v>
      </c>
    </row>
    <row r="290">
      <c r="A290" s="24" t="str">
        <f>IFERROR(__xludf.DUMMYFUNCTION("""COMPUTED_VALUE"""),"Jornalismo especializado no Brasil: teoria, prática e ensino")</f>
        <v>Jornalismo especializado no Brasil: teoria, prática e ensino</v>
      </c>
      <c r="B290" s="24" t="str">
        <f>IFERROR(__xludf.DUMMYFUNCTION("""COMPUTED_VALUE"""),"Marli dos Santos; Wilson da Costa Bueno (org.)")</f>
        <v>Marli dos Santos; Wilson da Costa Bueno (org.)</v>
      </c>
      <c r="C290" s="24" t="str">
        <f>IFERROR(__xludf.DUMMYFUNCTION("""COMPUTED_VALUE"""),"São Bernardo do Campo, SP")</f>
        <v>São Bernardo do Campo, SP</v>
      </c>
      <c r="D290" s="24" t="str">
        <f>IFERROR(__xludf.DUMMYFUNCTION("""COMPUTED_VALUE"""),"UMESP")</f>
        <v>UMESP</v>
      </c>
      <c r="E290" s="25">
        <f>IFERROR(__xludf.DUMMYFUNCTION("""COMPUTED_VALUE"""),2015.0)</f>
        <v>2015</v>
      </c>
      <c r="F290" s="24" t="str">
        <f>IFERROR(__xludf.DUMMYFUNCTION("""COMPUTED_VALUE"""),"Jornalismo especializado. Jornalismo científico. Imprensa brasileira. Comunicação")</f>
        <v>Jornalismo especializado. Jornalismo científico. Imprensa brasileira. Comunicação</v>
      </c>
      <c r="G290" s="28" t="str">
        <f>IFERROR(__xludf.DUMMYFUNCTION("""COMPUTED_VALUE"""),"9788578143152")</f>
        <v>9788578143152</v>
      </c>
      <c r="H290" s="29" t="str">
        <f>IFERROR(__xludf.DUMMYFUNCTION("""COMPUTED_VALUE"""),"http://editora.metodista.br/livros-gratis/Jornalismo%20especializado%20no%20Brasil12-4-2015.pdf/at_download/file")</f>
        <v>http://editora.metodista.br/livros-gratis/Jornalismo%20especializado%20no%20Brasil12-4-2015.pdf/at_download/file</v>
      </c>
      <c r="I290" s="24" t="str">
        <f>IFERROR(__xludf.DUMMYFUNCTION("""COMPUTED_VALUE"""),"Ciências Sociais Aplicadas")</f>
        <v>Ciências Sociais Aplicadas</v>
      </c>
    </row>
    <row r="291">
      <c r="A291" s="24" t="str">
        <f>IFERROR(__xludf.DUMMYFUNCTION("""COMPUTED_VALUE"""),"Julgamento das causas repetitivas: uma tendência de coletivização da tutela processual civil")</f>
        <v>Julgamento das causas repetitivas: uma tendência de coletivização da tutela processual civil</v>
      </c>
      <c r="B291" s="24" t="str">
        <f>IFERROR(__xludf.DUMMYFUNCTION("""COMPUTED_VALUE"""),"Luis Filipe Marques Porto Sá Pinto")</f>
        <v>Luis Filipe Marques Porto Sá Pinto</v>
      </c>
      <c r="C291" s="24" t="str">
        <f>IFERROR(__xludf.DUMMYFUNCTION("""COMPUTED_VALUE"""),"Vitória")</f>
        <v>Vitória</v>
      </c>
      <c r="D291" s="24" t="str">
        <f>IFERROR(__xludf.DUMMYFUNCTION("""COMPUTED_VALUE"""),"EDUFES")</f>
        <v>EDUFES</v>
      </c>
      <c r="E291" s="25">
        <f>IFERROR(__xludf.DUMMYFUNCTION("""COMPUTED_VALUE"""),2014.0)</f>
        <v>2014</v>
      </c>
      <c r="F291" s="24" t="str">
        <f>IFERROR(__xludf.DUMMYFUNCTION("""COMPUTED_VALUE"""),"Contraditório; Tutela; Processo civil; Direito")</f>
        <v>Contraditório; Tutela; Processo civil; Direito</v>
      </c>
      <c r="G291" s="28" t="str">
        <f>IFERROR(__xludf.DUMMYFUNCTION("""COMPUTED_VALUE"""),"9788577722020")</f>
        <v>9788577722020</v>
      </c>
      <c r="H291" s="29" t="str">
        <f>IFERROR(__xludf.DUMMYFUNCTION("""COMPUTED_VALUE"""),"http://repositorio.ufes.br/bitstream/10/1457/1/Julgamento%20das%20causas%20repetitivas%20uma%20tendencia%20de%20coletivizacao%20da%20tutela%20processual%20civil.pdf")</f>
        <v>http://repositorio.ufes.br/bitstream/10/1457/1/Julgamento%20das%20causas%20repetitivas%20uma%20tendencia%20de%20coletivizacao%20da%20tutela%20processual%20civil.pdf</v>
      </c>
      <c r="I291" s="24" t="str">
        <f>IFERROR(__xludf.DUMMYFUNCTION("""COMPUTED_VALUE"""),"Ciências Sociais Aplicadas")</f>
        <v>Ciências Sociais Aplicadas</v>
      </c>
    </row>
    <row r="292">
      <c r="A292" s="24" t="str">
        <f>IFERROR(__xludf.DUMMYFUNCTION("""COMPUTED_VALUE"""),"Justiça de transição e Ministério Público")</f>
        <v>Justiça de transição e Ministério Público</v>
      </c>
      <c r="B292" s="24" t="str">
        <f>IFERROR(__xludf.DUMMYFUNCTION("""COMPUTED_VALUE"""),"Heloísa Clara Araújo Rocha Gonçalves")</f>
        <v>Heloísa Clara Araújo Rocha Gonçalves</v>
      </c>
      <c r="C292" s="24" t="str">
        <f>IFERROR(__xludf.DUMMYFUNCTION("""COMPUTED_VALUE"""),"Campina Grande")</f>
        <v>Campina Grande</v>
      </c>
      <c r="D292" s="24" t="str">
        <f>IFERROR(__xludf.DUMMYFUNCTION("""COMPUTED_VALUE"""),"EDUEPB")</f>
        <v>EDUEPB</v>
      </c>
      <c r="E292" s="25">
        <f>IFERROR(__xludf.DUMMYFUNCTION("""COMPUTED_VALUE"""),2018.0)</f>
        <v>2018</v>
      </c>
      <c r="F292" s="24" t="str">
        <f>IFERROR(__xludf.DUMMYFUNCTION("""COMPUTED_VALUE"""),"Direitos humanos - Brasil. Direito internacional - transversalidade. Direitos humanso - transversalidade. Ditadura militar - Brasil. Ministério Público Federal - Brasil. Lei da Anistia. Direitos civis e políticos ")</f>
        <v>Direitos humanos - Brasil. Direito internacional - transversalidade. Direitos humanso - transversalidade. Ditadura militar - Brasil. Ministério Público Federal - Brasil. Lei da Anistia. Direitos civis e políticos </v>
      </c>
      <c r="G292" s="28" t="str">
        <f>IFERROR(__xludf.DUMMYFUNCTION("""COMPUTED_VALUE"""),"9788578795429")</f>
        <v>9788578795429</v>
      </c>
      <c r="H292" s="29" t="str">
        <f>IFERROR(__xludf.DUMMYFUNCTION("""COMPUTED_VALUE"""),"http://eduepb.uepb.edu.br/download/justic%cc%a7a-de-transic%cc%a7a%cc%83o-e-ministerio-publico/?wpdmdl=660&amp;amp;masterkey=5cb4817d62c87")</f>
        <v>http://eduepb.uepb.edu.br/download/justic%cc%a7a-de-transic%cc%a7a%cc%83o-e-ministerio-publico/?wpdmdl=660&amp;amp;masterkey=5cb4817d62c87</v>
      </c>
      <c r="I292" s="24" t="str">
        <f>IFERROR(__xludf.DUMMYFUNCTION("""COMPUTED_VALUE"""),"Ciências Sociais Aplicadas")</f>
        <v>Ciências Sociais Aplicadas</v>
      </c>
    </row>
    <row r="293">
      <c r="A293" s="24" t="str">
        <f>IFERROR(__xludf.DUMMYFUNCTION("""COMPUTED_VALUE"""),"Justiça e cidadania: relexões sobre o campo normativo moderno")</f>
        <v>Justiça e cidadania: relexões sobre o campo normativo moderno</v>
      </c>
      <c r="B293" s="24" t="str">
        <f>IFERROR(__xludf.DUMMYFUNCTION("""COMPUTED_VALUE"""),"(org.) Rafael Salatini, Cristina Grobério Pazó, Douglas Policarpo")</f>
        <v>(org.) Rafael Salatini, Cristina Grobério Pazó, Douglas Policarpo</v>
      </c>
      <c r="C293" s="24" t="str">
        <f>IFERROR(__xludf.DUMMYFUNCTION("""COMPUTED_VALUE"""),"Dourados, MS")</f>
        <v>Dourados, MS</v>
      </c>
      <c r="D293" s="24" t="str">
        <f>IFERROR(__xludf.DUMMYFUNCTION("""COMPUTED_VALUE"""),"Ed. da UFGD")</f>
        <v>Ed. da UFGD</v>
      </c>
      <c r="E293" s="25">
        <f>IFERROR(__xludf.DUMMYFUNCTION("""COMPUTED_VALUE"""),2014.0)</f>
        <v>2014</v>
      </c>
      <c r="F293" s="24" t="str">
        <f>IFERROR(__xludf.DUMMYFUNCTION("""COMPUTED_VALUE"""),"Justiça; Direitos humanos")</f>
        <v>Justiça; Direitos humanos</v>
      </c>
      <c r="G293" s="28" t="str">
        <f>IFERROR(__xludf.DUMMYFUNCTION("""COMPUTED_VALUE"""),"9788581470566")</f>
        <v>9788581470566</v>
      </c>
      <c r="H293" s="29" t="str">
        <f>IFERROR(__xludf.DUMMYFUNCTION("""COMPUTED_VALUE"""),"http://omp.ufgd.edu.br/omp/index.php/livrosabertos/catalog/view/127/216/497-1")</f>
        <v>http://omp.ufgd.edu.br/omp/index.php/livrosabertos/catalog/view/127/216/497-1</v>
      </c>
      <c r="I293" s="24" t="str">
        <f>IFERROR(__xludf.DUMMYFUNCTION("""COMPUTED_VALUE"""),"Ciências Sociais Aplicadas")</f>
        <v>Ciências Sociais Aplicadas</v>
      </c>
    </row>
    <row r="294">
      <c r="A294" s="24" t="str">
        <f>IFERROR(__xludf.DUMMYFUNCTION("""COMPUTED_VALUE"""),"Juventude, lazer e políticas públicas no Acre")</f>
        <v>Juventude, lazer e políticas públicas no Acre</v>
      </c>
      <c r="B294" s="24" t="str">
        <f>IFERROR(__xludf.DUMMYFUNCTION("""COMPUTED_VALUE"""),"Lucicleia Barreto Queiroz")</f>
        <v>Lucicleia Barreto Queiroz</v>
      </c>
      <c r="C294" s="24" t="str">
        <f>IFERROR(__xludf.DUMMYFUNCTION("""COMPUTED_VALUE"""),"Rio Branco")</f>
        <v>Rio Branco</v>
      </c>
      <c r="D294" s="24" t="str">
        <f>IFERROR(__xludf.DUMMYFUNCTION("""COMPUTED_VALUE"""),"Edufac")</f>
        <v>Edufac</v>
      </c>
      <c r="E294" s="25">
        <f>IFERROR(__xludf.DUMMYFUNCTION("""COMPUTED_VALUE"""),2017.0)</f>
        <v>2017</v>
      </c>
      <c r="F294" s="24" t="str">
        <f>IFERROR(__xludf.DUMMYFUNCTION("""COMPUTED_VALUE"""),"Políticas públicas - jovens; Jovens - Brasil; Lazer - aspectos sociais")</f>
        <v>Políticas públicas - jovens; Jovens - Brasil; Lazer - aspectos sociais</v>
      </c>
      <c r="G294" s="28" t="str">
        <f>IFERROR(__xludf.DUMMYFUNCTION("""COMPUTED_VALUE"""),"9788582360637")</f>
        <v>9788582360637</v>
      </c>
      <c r="H294" s="29" t="str">
        <f>IFERROR(__xludf.DUMMYFUNCTION("""COMPUTED_VALUE"""),"http://www2.ufac.br/editora/livros/juventude-lazer-e-politicas-publicas-no-acre.pdf")</f>
        <v>http://www2.ufac.br/editora/livros/juventude-lazer-e-politicas-publicas-no-acre.pdf</v>
      </c>
      <c r="I294" s="24" t="str">
        <f>IFERROR(__xludf.DUMMYFUNCTION("""COMPUTED_VALUE"""),"Ciências Sociais Aplicadas")</f>
        <v>Ciências Sociais Aplicadas</v>
      </c>
    </row>
    <row r="295">
      <c r="A295" s="24" t="str">
        <f>IFERROR(__xludf.DUMMYFUNCTION("""COMPUTED_VALUE"""),"La importancia de los derechos sociales para la implementación de la igualdad por razón de género")</f>
        <v>La importancia de los derechos sociales para la implementación de la igualdad por razón de género</v>
      </c>
      <c r="B295" s="24" t="str">
        <f>IFERROR(__xludf.DUMMYFUNCTION("""COMPUTED_VALUE"""),"Candy Florencio Thomé, Rodrigo Garcia Schwarz")</f>
        <v>Candy Florencio Thomé, Rodrigo Garcia Schwarz</v>
      </c>
      <c r="C295" s="24" t="str">
        <f>IFERROR(__xludf.DUMMYFUNCTION("""COMPUTED_VALUE"""),"Joaçaba")</f>
        <v>Joaçaba</v>
      </c>
      <c r="D295" s="24" t="str">
        <f>IFERROR(__xludf.DUMMYFUNCTION("""COMPUTED_VALUE"""),"Unoesc")</f>
        <v>Unoesc</v>
      </c>
      <c r="E295" s="25">
        <f>IFERROR(__xludf.DUMMYFUNCTION("""COMPUTED_VALUE"""),2017.0)</f>
        <v>2017</v>
      </c>
      <c r="F295" s="24" t="str">
        <f>IFERROR(__xludf.DUMMYFUNCTION("""COMPUTED_VALUE"""),"Direitos fundamentais, Legislação social,; Igualdade perante a lei")</f>
        <v>Direitos fundamentais, Legislação social,; Igualdade perante a lei</v>
      </c>
      <c r="G295" s="28" t="str">
        <f>IFERROR(__xludf.DUMMYFUNCTION("""COMPUTED_VALUE"""),"9788584221431")</f>
        <v>9788584221431</v>
      </c>
      <c r="H295" s="29" t="str">
        <f>IFERROR(__xludf.DUMMYFUNCTION("""COMPUTED_VALUE"""),"https://www.unoesc.edu.br/images/uploads/editora/S%c3%a9rie_Direitos_Fundamentais_Sociais_Candy_Rodrigo.pdf")</f>
        <v>https://www.unoesc.edu.br/images/uploads/editora/S%c3%a9rie_Direitos_Fundamentais_Sociais_Candy_Rodrigo.pdf</v>
      </c>
      <c r="I295" s="24" t="str">
        <f>IFERROR(__xludf.DUMMYFUNCTION("""COMPUTED_VALUE"""),"Ciências Sociais Aplicadas")</f>
        <v>Ciências Sociais Aplicadas</v>
      </c>
    </row>
    <row r="296">
      <c r="A296" s="24" t="str">
        <f>IFERROR(__xludf.DUMMYFUNCTION("""COMPUTED_VALUE"""),"Laboratório de alteridades: ensaios antropológicos")</f>
        <v>Laboratório de alteridades: ensaios antropológicos</v>
      </c>
      <c r="B296" s="24" t="str">
        <f>IFERROR(__xludf.DUMMYFUNCTION("""COMPUTED_VALUE"""),"Maria Paula Prates (org.) Joachim Carreira (org.)")</f>
        <v>Maria Paula Prates (org.) Joachim Carreira (org.)</v>
      </c>
      <c r="C296" s="24" t="str">
        <f>IFERROR(__xludf.DUMMYFUNCTION("""COMPUTED_VALUE"""),"Porto Alegre")</f>
        <v>Porto Alegre</v>
      </c>
      <c r="D296" s="24" t="str">
        <f>IFERROR(__xludf.DUMMYFUNCTION("""COMPUTED_VALUE"""),"UFCSPA ")</f>
        <v>UFCSPA </v>
      </c>
      <c r="E296" s="25">
        <f>IFERROR(__xludf.DUMMYFUNCTION("""COMPUTED_VALUE"""),2020.0)</f>
        <v>2020</v>
      </c>
      <c r="F296" s="24" t="str">
        <f>IFERROR(__xludf.DUMMYFUNCTION("""COMPUTED_VALUE"""),"Antropologia Antropologia social Etnografia Biomedicina")</f>
        <v>Antropologia Antropologia social Etnografia Biomedicina</v>
      </c>
      <c r="G296" s="28" t="str">
        <f>IFERROR(__xludf.DUMMYFUNCTION("""COMPUTED_VALUE"""),"9786587950006")</f>
        <v>9786587950006</v>
      </c>
      <c r="H296" s="29" t="str">
        <f>IFERROR(__xludf.DUMMYFUNCTION("""COMPUTED_VALUE"""),"https://www.ufcspa.edu.br/editora_log/download.php?cod=014&amp;tipo=pdf")</f>
        <v>https://www.ufcspa.edu.br/editora_log/download.php?cod=014&amp;tipo=pdf</v>
      </c>
      <c r="I296" s="24" t="str">
        <f>IFERROR(__xludf.DUMMYFUNCTION("""COMPUTED_VALUE"""),"Ciências Sociais Aplicadas")</f>
        <v>Ciências Sociais Aplicadas</v>
      </c>
    </row>
    <row r="297">
      <c r="A297" s="24" t="str">
        <f>IFERROR(__xludf.DUMMYFUNCTION("""COMPUTED_VALUE"""),"Lazer em Ouro Preto e Mariana: espaços e equipamentos")</f>
        <v>Lazer em Ouro Preto e Mariana: espaços e equipamentos</v>
      </c>
      <c r="B297" s="24" t="str">
        <f>IFERROR(__xludf.DUMMYFUNCTION("""COMPUTED_VALUE"""),"Maria Cristina Rosa; ")</f>
        <v>Maria Cristina Rosa; </v>
      </c>
      <c r="C297" s="24" t="str">
        <f>IFERROR(__xludf.DUMMYFUNCTION("""COMPUTED_VALUE"""),"Ouro Preto")</f>
        <v>Ouro Preto</v>
      </c>
      <c r="D297" s="24" t="str">
        <f>IFERROR(__xludf.DUMMYFUNCTION("""COMPUTED_VALUE"""),"UFOP")</f>
        <v>UFOP</v>
      </c>
      <c r="E297" s="25">
        <f>IFERROR(__xludf.DUMMYFUNCTION("""COMPUTED_VALUE"""),2013.0)</f>
        <v>2013</v>
      </c>
      <c r="F297" s="24" t="str">
        <f>IFERROR(__xludf.DUMMYFUNCTION("""COMPUTED_VALUE"""),"Lazer-Ouro Preto (MG). Lazer-Mariana (MG). Esportes. Políticas públicas")</f>
        <v>Lazer-Ouro Preto (MG). Lazer-Mariana (MG). Esportes. Políticas públicas</v>
      </c>
      <c r="G297" s="28" t="str">
        <f>IFERROR(__xludf.DUMMYFUNCTION("""COMPUTED_VALUE"""),"9788528803044")</f>
        <v>9788528803044</v>
      </c>
      <c r="H297" s="29" t="str">
        <f>IFERROR(__xludf.DUMMYFUNCTION("""COMPUTED_VALUE"""),"https://www.editora.ufop.br/index.php/editora/catalog/view/26/15/54-1")</f>
        <v>https://www.editora.ufop.br/index.php/editora/catalog/view/26/15/54-1</v>
      </c>
      <c r="I297" s="24" t="str">
        <f>IFERROR(__xludf.DUMMYFUNCTION("""COMPUTED_VALUE"""),"Ciências Sociais Aplicadas")</f>
        <v>Ciências Sociais Aplicadas</v>
      </c>
    </row>
    <row r="298">
      <c r="A298" s="24" t="str">
        <f>IFERROR(__xludf.DUMMYFUNCTION("""COMPUTED_VALUE"""),"Les aspects interdisciplinaires de la gestion de l'eau dans le contexte du changement climatique")</f>
        <v>Les aspects interdisciplinaires de la gestion de l'eau dans le contexte du changement climatique</v>
      </c>
      <c r="B298" s="24" t="str">
        <f>IFERROR(__xludf.DUMMYFUNCTION("""COMPUTED_VALUE"""),"Coordonné par; Danilo Marcondes; Giuseppe Musumeci; Jean-Louis Oliver")</f>
        <v>Coordonné par; Danilo Marcondes; Giuseppe Musumeci; Jean-Louis Oliver</v>
      </c>
      <c r="C298" s="24" t="str">
        <f>IFERROR(__xludf.DUMMYFUNCTION("""COMPUTED_VALUE"""),"Rio de Janeiro")</f>
        <v>Rio de Janeiro</v>
      </c>
      <c r="D298" s="24" t="str">
        <f>IFERROR(__xludf.DUMMYFUNCTION("""COMPUTED_VALUE"""),"Editora PUC Rio")</f>
        <v>Editora PUC Rio</v>
      </c>
      <c r="E298" s="25">
        <f>IFERROR(__xludf.DUMMYFUNCTION("""COMPUTED_VALUE"""),2016.0)</f>
        <v>2016</v>
      </c>
      <c r="F298" s="24" t="str">
        <f>IFERROR(__xludf.DUMMYFUNCTION("""COMPUTED_VALUE"""),"Água – Uso. Mudanças climáticas. Gestão de recursos hídricos")</f>
        <v>Água – Uso. Mudanças climáticas. Gestão de recursos hídricos</v>
      </c>
      <c r="G298" s="28" t="str">
        <f>IFERROR(__xludf.DUMMYFUNCTION("""COMPUTED_VALUE"""),"9788580062021")</f>
        <v>9788580062021</v>
      </c>
      <c r="H298" s="29" t="str">
        <f>IFERROR(__xludf.DUMMYFUNCTION("""COMPUTED_VALUE"""),"http://www.editora.puc-rio.br/media/ebooklesaspectsinterdisciplinaires.pdf")</f>
        <v>http://www.editora.puc-rio.br/media/ebooklesaspectsinterdisciplinaires.pdf</v>
      </c>
      <c r="I298" s="24" t="str">
        <f>IFERROR(__xludf.DUMMYFUNCTION("""COMPUTED_VALUE"""),"Ciências Sociais Aplicadas")</f>
        <v>Ciências Sociais Aplicadas</v>
      </c>
    </row>
    <row r="299">
      <c r="A299" s="24" t="str">
        <f>IFERROR(__xludf.DUMMYFUNCTION("""COMPUTED_VALUE"""),"Liberdade religiosa e a teoria da justiça de John Rawls")</f>
        <v>Liberdade religiosa e a teoria da justiça de John Rawls</v>
      </c>
      <c r="B299" s="24" t="str">
        <f>IFERROR(__xludf.DUMMYFUNCTION("""COMPUTED_VALUE"""),"Julio Cesar Frosi")</f>
        <v>Julio Cesar Frosi</v>
      </c>
      <c r="C299" s="24" t="str">
        <f>IFERROR(__xludf.DUMMYFUNCTION("""COMPUTED_VALUE"""),"Joaçaba")</f>
        <v>Joaçaba</v>
      </c>
      <c r="D299" s="24" t="str">
        <f>IFERROR(__xludf.DUMMYFUNCTION("""COMPUTED_VALUE"""),"Unoesc")</f>
        <v>Unoesc</v>
      </c>
      <c r="E299" s="25">
        <f>IFERROR(__xludf.DUMMYFUNCTION("""COMPUTED_VALUE"""),2017.0)</f>
        <v>2017</v>
      </c>
      <c r="F299" s="24" t="str">
        <f>IFERROR(__xludf.DUMMYFUNCTION("""COMPUTED_VALUE"""),"Liberdade religiosa Direitos fundamentais")</f>
        <v>Liberdade religiosa Direitos fundamentais</v>
      </c>
      <c r="G299" s="28" t="str">
        <f>IFERROR(__xludf.DUMMYFUNCTION("""COMPUTED_VALUE"""),"9788584221097")</f>
        <v>9788584221097</v>
      </c>
      <c r="H299" s="29" t="str">
        <f>IFERROR(__xludf.DUMMYFUNCTION("""COMPUTED_VALUE"""),"https://www.unoesc.edu.br/images/uploads/editora/Liberdade_religiosa_e_a_teoria_da_justica_de_John.pdf")</f>
        <v>https://www.unoesc.edu.br/images/uploads/editora/Liberdade_religiosa_e_a_teoria_da_justica_de_John.pdf</v>
      </c>
      <c r="I299" s="24" t="str">
        <f>IFERROR(__xludf.DUMMYFUNCTION("""COMPUTED_VALUE"""),"Ciências Sociais Aplicadas")</f>
        <v>Ciências Sociais Aplicadas</v>
      </c>
    </row>
    <row r="300">
      <c r="A300" s="24" t="str">
        <f>IFERROR(__xludf.DUMMYFUNCTION("""COMPUTED_VALUE"""),"Liberdade, contrato e propriedade: da ressignificação dos pilares dos Direitos Fundamentais Civis frente a sociedade da incerteza (entre espetáculo e informação)")</f>
        <v>Liberdade, contrato e propriedade: da ressignificação dos pilares dos Direitos Fundamentais Civis frente a sociedade da incerteza (entre espetáculo e informação)</v>
      </c>
      <c r="B300" s="24" t="str">
        <f>IFERROR(__xludf.DUMMYFUNCTION("""COMPUTED_VALUE"""),"Paulo Junior Trindade dos Santos, Cristhian Magnus De Marco, Vinícius Almada Mozetic")</f>
        <v>Paulo Junior Trindade dos Santos, Cristhian Magnus De Marco, Vinícius Almada Mozetic</v>
      </c>
      <c r="C300" s="24" t="str">
        <f>IFERROR(__xludf.DUMMYFUNCTION("""COMPUTED_VALUE"""),"Joaçaba")</f>
        <v>Joaçaba</v>
      </c>
      <c r="D300" s="24" t="str">
        <f>IFERROR(__xludf.DUMMYFUNCTION("""COMPUTED_VALUE"""),"Unoesc")</f>
        <v>Unoesc</v>
      </c>
      <c r="E300" s="25">
        <f>IFERROR(__xludf.DUMMYFUNCTION("""COMPUTED_VALUE"""),2020.0)</f>
        <v>2020</v>
      </c>
      <c r="F300" s="24" t="str">
        <f>IFERROR(__xludf.DUMMYFUNCTION("""COMPUTED_VALUE"""),"Direitos fundamentais, Direito e fato")</f>
        <v>Direitos fundamentais, Direito e fato</v>
      </c>
      <c r="G300" s="28" t="str">
        <f>IFERROR(__xludf.DUMMYFUNCTION("""COMPUTED_VALUE"""),"9786586158069")</f>
        <v>9786586158069</v>
      </c>
      <c r="H300" s="29" t="str">
        <f>IFERROR(__xludf.DUMMYFUNCTION("""COMPUTED_VALUE"""),"https://www.unoesc.edu.br/images/uploads/editora/Miolo_Liberdade,_contrato_e_propriedade_ok.pdf")</f>
        <v>https://www.unoesc.edu.br/images/uploads/editora/Miolo_Liberdade,_contrato_e_propriedade_ok.pdf</v>
      </c>
      <c r="I300" s="24" t="str">
        <f>IFERROR(__xludf.DUMMYFUNCTION("""COMPUTED_VALUE"""),"Ciências Sociais Aplicadas")</f>
        <v>Ciências Sociais Aplicadas</v>
      </c>
    </row>
    <row r="301">
      <c r="A301" s="24" t="str">
        <f>IFERROR(__xludf.DUMMYFUNCTION("""COMPUTED_VALUE"""),"Limitações ao direito de propriedade: efeitos sobre a preservação do patrimônio cultural edificado na cidade de Pelotas/RS")</f>
        <v>Limitações ao direito de propriedade: efeitos sobre a preservação do patrimônio cultural edificado na cidade de Pelotas/RS</v>
      </c>
      <c r="B301" s="24" t="str">
        <f>IFERROR(__xludf.DUMMYFUNCTION("""COMPUTED_VALUE"""),"Santos, Ivana Morales Peres dos")</f>
        <v>Santos, Ivana Morales Peres dos</v>
      </c>
      <c r="C301" s="24" t="str">
        <f>IFERROR(__xludf.DUMMYFUNCTION("""COMPUTED_VALUE"""),"Pelotas")</f>
        <v>Pelotas</v>
      </c>
      <c r="D301" s="24" t="str">
        <f>IFERROR(__xludf.DUMMYFUNCTION("""COMPUTED_VALUE"""),"UFPel")</f>
        <v>UFPel</v>
      </c>
      <c r="E301" s="25">
        <f>IFERROR(__xludf.DUMMYFUNCTION("""COMPUTED_VALUE"""),2017.0)</f>
        <v>2017</v>
      </c>
      <c r="F301" s="24" t="str">
        <f>IFERROR(__xludf.DUMMYFUNCTION("""COMPUTED_VALUE"""),"Direito de propriedade; Patrimônio histórico edificado; Preservação; Patrimônio cultural")</f>
        <v>Direito de propriedade; Patrimônio histórico edificado; Preservação; Patrimônio cultural</v>
      </c>
      <c r="G301" s="28" t="str">
        <f>IFERROR(__xludf.DUMMYFUNCTION("""COMPUTED_VALUE"""),"9788571929517")</f>
        <v>9788571929517</v>
      </c>
      <c r="H301" s="29" t="str">
        <f>IFERROR(__xludf.DUMMYFUNCTION("""COMPUTED_VALUE"""),"http://repositorio.ufpel.edu.br:8080/bitstream/prefix/3801/1/7_LIMITA%c3%87%c3%95ES%20AO%20DIREITO%20DE%20PROPRIEDADE%20_S%c3%89RIE%20P%c3%93S%20GRADUA%c3%87%c3%83O.pdf")</f>
        <v>http://repositorio.ufpel.edu.br:8080/bitstream/prefix/3801/1/7_LIMITA%c3%87%c3%95ES%20AO%20DIREITO%20DE%20PROPRIEDADE%20_S%c3%89RIE%20P%c3%93S%20GRADUA%c3%87%c3%83O.pdf</v>
      </c>
      <c r="I301" s="24" t="str">
        <f>IFERROR(__xludf.DUMMYFUNCTION("""COMPUTED_VALUE"""),"Ciências Sociais Aplicadas")</f>
        <v>Ciências Sociais Aplicadas</v>
      </c>
    </row>
    <row r="302">
      <c r="A302" s="24" t="str">
        <f>IFERROR(__xludf.DUMMYFUNCTION("""COMPUTED_VALUE"""),"Limites dos Direitos Humanos : Sociedade, Direito, Política e Democracia")</f>
        <v>Limites dos Direitos Humanos : Sociedade, Direito, Política e Democracia</v>
      </c>
      <c r="B302" s="24" t="str">
        <f>IFERROR(__xludf.DUMMYFUNCTION("""COMPUTED_VALUE"""),"Luciano Nascimento Silva (org.)")</f>
        <v>Luciano Nascimento Silva (org.)</v>
      </c>
      <c r="C302" s="24" t="str">
        <f>IFERROR(__xludf.DUMMYFUNCTION("""COMPUTED_VALUE"""),"Campina Grande")</f>
        <v>Campina Grande</v>
      </c>
      <c r="D302" s="24" t="str">
        <f>IFERROR(__xludf.DUMMYFUNCTION("""COMPUTED_VALUE"""),"EDUEPB")</f>
        <v>EDUEPB</v>
      </c>
      <c r="E302" s="25">
        <f>IFERROR(__xludf.DUMMYFUNCTION("""COMPUTED_VALUE"""),2020.0)</f>
        <v>2020</v>
      </c>
      <c r="F302" s="24" t="str">
        <f>IFERROR(__xludf.DUMMYFUNCTION("""COMPUTED_VALUE"""),"Direitos humanos. Defensoria pública. Cidadania. Autoritarismo. Sistema prisional - Brasil. Direitos fundamentais")</f>
        <v>Direitos humanos. Defensoria pública. Cidadania. Autoritarismo. Sistema prisional - Brasil. Direitos fundamentais</v>
      </c>
      <c r="G302" s="28" t="str">
        <f>IFERROR(__xludf.DUMMYFUNCTION("""COMPUTED_VALUE"""),"9788578795696")</f>
        <v>9788578795696</v>
      </c>
      <c r="H302" s="29" t="str">
        <f>IFERROR(__xludf.DUMMYFUNCTION("""COMPUTED_VALUE"""),"http://eduepb.uepb.edu.br/download/limites-dos-direitos-humanos/?wpdmdl=1018&amp;#038;masterkey=5eb42209ea5ef")</f>
        <v>http://eduepb.uepb.edu.br/download/limites-dos-direitos-humanos/?wpdmdl=1018&amp;#038;masterkey=5eb42209ea5ef</v>
      </c>
      <c r="I302" s="24" t="str">
        <f>IFERROR(__xludf.DUMMYFUNCTION("""COMPUTED_VALUE"""),"Ciências Sociais Aplicadas")</f>
        <v>Ciências Sociais Aplicadas</v>
      </c>
    </row>
    <row r="303">
      <c r="A303" s="24" t="str">
        <f>IFERROR(__xludf.DUMMYFUNCTION("""COMPUTED_VALUE"""),"Linguagem, verdade e conhecimento: uma análise epistemológica do jornalismo a partir de duas perspectivas semióticas")</f>
        <v>Linguagem, verdade e conhecimento: uma análise epistemológica do jornalismo a partir de duas perspectivas semióticas</v>
      </c>
      <c r="B303" s="24" t="str">
        <f>IFERROR(__xludf.DUMMYFUNCTION("""COMPUTED_VALUE"""),"Rafael Paes Henriques")</f>
        <v>Rafael Paes Henriques</v>
      </c>
      <c r="C303" s="24" t="str">
        <f>IFERROR(__xludf.DUMMYFUNCTION("""COMPUTED_VALUE"""),"Vitória")</f>
        <v>Vitória</v>
      </c>
      <c r="D303" s="24" t="str">
        <f>IFERROR(__xludf.DUMMYFUNCTION("""COMPUTED_VALUE"""),"EDUFES")</f>
        <v>EDUFES</v>
      </c>
      <c r="E303" s="25">
        <f>IFERROR(__xludf.DUMMYFUNCTION("""COMPUTED_VALUE"""),2014.0)</f>
        <v>2014</v>
      </c>
      <c r="F303" s="24" t="str">
        <f>IFERROR(__xludf.DUMMYFUNCTION("""COMPUTED_VALUE"""),"Jornalismo; Semiótica; Linguagem")</f>
        <v>Jornalismo; Semiótica; Linguagem</v>
      </c>
      <c r="G303" s="28" t="str">
        <f>IFERROR(__xludf.DUMMYFUNCTION("""COMPUTED_VALUE"""),"9788577722143")</f>
        <v>9788577722143</v>
      </c>
      <c r="H303" s="29" t="str">
        <f>IFERROR(__xludf.DUMMYFUNCTION("""COMPUTED_VALUE"""),"http://repositorio.ufes.br/handle/10/1897")</f>
        <v>http://repositorio.ufes.br/handle/10/1897</v>
      </c>
      <c r="I303" s="24" t="str">
        <f>IFERROR(__xludf.DUMMYFUNCTION("""COMPUTED_VALUE"""),"Ciências Sociais Aplicadas")</f>
        <v>Ciências Sociais Aplicadas</v>
      </c>
    </row>
    <row r="304">
      <c r="A304" s="24" t="str">
        <f>IFERROR(__xludf.DUMMYFUNCTION("""COMPUTED_VALUE"""),"Linhas expandidas: urbanismos de fronteira: Brasil, Uruguai e Argentina")</f>
        <v>Linhas expandidas: urbanismos de fronteira: Brasil, Uruguai e Argentina</v>
      </c>
      <c r="B304" s="24" t="str">
        <f>IFERROR(__xludf.DUMMYFUNCTION("""COMPUTED_VALUE"""),"Marcos Favero; Gabriel Duarte; organizadores")</f>
        <v>Marcos Favero; Gabriel Duarte; organizadores</v>
      </c>
      <c r="C304" s="24" t="str">
        <f>IFERROR(__xludf.DUMMYFUNCTION("""COMPUTED_VALUE"""),"Rio de Janeiro")</f>
        <v>Rio de Janeiro</v>
      </c>
      <c r="D304" s="24" t="str">
        <f>IFERROR(__xludf.DUMMYFUNCTION("""COMPUTED_VALUE"""),"Editora PUC Rio")</f>
        <v>Editora PUC Rio</v>
      </c>
      <c r="E304" s="25">
        <f>IFERROR(__xludf.DUMMYFUNCTION("""COMPUTED_VALUE"""),2016.0)</f>
        <v>2016</v>
      </c>
      <c r="F304" s="24" t="str">
        <f>IFERROR(__xludf.DUMMYFUNCTION("""COMPUTED_VALUE"""),"Cidades e vilas – América do Sul. Transnacionalismo. Infraestrutura (Economia). Arquitetura paisagística. Pesquisa")</f>
        <v>Cidades e vilas – América do Sul. Transnacionalismo. Infraestrutura (Economia). Arquitetura paisagística. Pesquisa</v>
      </c>
      <c r="G304" s="28" t="str">
        <f>IFERROR(__xludf.DUMMYFUNCTION("""COMPUTED_VALUE"""),"9788580062175")</f>
        <v>9788580062175</v>
      </c>
      <c r="H304" s="29" t="str">
        <f>IFERROR(__xludf.DUMMYFUNCTION("""COMPUTED_VALUE"""),"http://www.editora.puc-rio.br/media/Linhas_expandidas_e-book.pdf")</f>
        <v>http://www.editora.puc-rio.br/media/Linhas_expandidas_e-book.pdf</v>
      </c>
      <c r="I304" s="24" t="str">
        <f>IFERROR(__xludf.DUMMYFUNCTION("""COMPUTED_VALUE"""),"Ciências Sociais Aplicadas")</f>
        <v>Ciências Sociais Aplicadas</v>
      </c>
    </row>
    <row r="305">
      <c r="A305" s="24" t="str">
        <f>IFERROR(__xludf.DUMMYFUNCTION("""COMPUTED_VALUE"""),"Los riesgos de las investigaciones y experimentación médica em seres humanos")</f>
        <v>Los riesgos de las investigaciones y experimentación médica em seres humanos</v>
      </c>
      <c r="B305" s="24" t="str">
        <f>IFERROR(__xludf.DUMMYFUNCTION("""COMPUTED_VALUE"""),"Amalia Patricia Cobos Campos e Janaína Reckziegel")</f>
        <v>Amalia Patricia Cobos Campos e Janaína Reckziegel</v>
      </c>
      <c r="C305" s="24" t="str">
        <f>IFERROR(__xludf.DUMMYFUNCTION("""COMPUTED_VALUE"""),"Joaçaba")</f>
        <v>Joaçaba</v>
      </c>
      <c r="D305" s="24" t="str">
        <f>IFERROR(__xludf.DUMMYFUNCTION("""COMPUTED_VALUE"""),"Unoesc")</f>
        <v>Unoesc</v>
      </c>
      <c r="E305" s="25">
        <f>IFERROR(__xludf.DUMMYFUNCTION("""COMPUTED_VALUE"""),2018.0)</f>
        <v>2018</v>
      </c>
      <c r="F305" s="24" t="str">
        <f>IFERROR(__xludf.DUMMYFUNCTION("""COMPUTED_VALUE"""),"Direito")</f>
        <v>Direito</v>
      </c>
      <c r="G305" s="28" t="str">
        <f>IFERROR(__xludf.DUMMYFUNCTION("""COMPUTED_VALUE"""),"9788584221844")</f>
        <v>9788584221844</v>
      </c>
      <c r="H305" s="29" t="str">
        <f>IFERROR(__xludf.DUMMYFUNCTION("""COMPUTED_VALUE"""),"https://www.unoesc.edu.br/images/uploads/editora/Miolo_Los_riesgos.pdf")</f>
        <v>https://www.unoesc.edu.br/images/uploads/editora/Miolo_Los_riesgos.pdf</v>
      </c>
      <c r="I305" s="24" t="str">
        <f>IFERROR(__xludf.DUMMYFUNCTION("""COMPUTED_VALUE"""),"Ciências Sociais Aplicadas")</f>
        <v>Ciências Sociais Aplicadas</v>
      </c>
    </row>
    <row r="306">
      <c r="A306" s="24" t="str">
        <f>IFERROR(__xludf.DUMMYFUNCTION("""COMPUTED_VALUE"""),"Macroeconomia I: as contas nacionais")</f>
        <v>Macroeconomia I: as contas nacionais</v>
      </c>
      <c r="B306" s="24" t="str">
        <f>IFERROR(__xludf.DUMMYFUNCTION("""COMPUTED_VALUE"""),"Claudio Monteiro Considera, Roberto; Olinto Ramos, Heloísa Valverde Filgueiras")</f>
        <v>Claudio Monteiro Considera, Roberto; Olinto Ramos, Heloísa Valverde Filgueiras</v>
      </c>
      <c r="C306" s="24" t="str">
        <f>IFERROR(__xludf.DUMMYFUNCTION("""COMPUTED_VALUE"""),"Niterói, RJ")</f>
        <v>Niterói, RJ</v>
      </c>
      <c r="D306" s="24" t="str">
        <f>IFERROR(__xludf.DUMMYFUNCTION("""COMPUTED_VALUE"""),"EDUFF")</f>
        <v>EDUFF</v>
      </c>
      <c r="E306" s="25">
        <f>IFERROR(__xludf.DUMMYFUNCTION("""COMPUTED_VALUE"""),2009.0)</f>
        <v>2009</v>
      </c>
      <c r="F306" s="24" t="str">
        <f>IFERROR(__xludf.DUMMYFUNCTION("""COMPUTED_VALUE"""),"Macroeconomia; Contas nacionais")</f>
        <v>Macroeconomia; Contas nacionais</v>
      </c>
      <c r="G306" s="28" t="str">
        <f>IFERROR(__xludf.DUMMYFUNCTION("""COMPUTED_VALUE"""),"9788522804993")</f>
        <v>9788522804993</v>
      </c>
      <c r="H306" s="29" t="str">
        <f>IFERROR(__xludf.DUMMYFUNCTION("""COMPUTED_VALUE"""),"http://www.eduff.uff.br/ebooks/Macroeconomia-I.pdf")</f>
        <v>http://www.eduff.uff.br/ebooks/Macroeconomia-I.pdf</v>
      </c>
      <c r="I306" s="24" t="str">
        <f>IFERROR(__xludf.DUMMYFUNCTION("""COMPUTED_VALUE"""),"Ciências Sociais Aplicadas")</f>
        <v>Ciências Sociais Aplicadas</v>
      </c>
    </row>
    <row r="307">
      <c r="A307" s="24" t="str">
        <f>IFERROR(__xludf.DUMMYFUNCTION("""COMPUTED_VALUE"""),"MAIS (+) CULTURA (s): estudos sobre telenovela, comunicação, culturas populares e sociedade")</f>
        <v>MAIS (+) CULTURA (s): estudos sobre telenovela, comunicação, culturas populares e sociedade</v>
      </c>
      <c r="B307" s="24" t="str">
        <f>IFERROR(__xludf.DUMMYFUNCTION("""COMPUTED_VALUE"""),"Jorge A. González")</f>
        <v>Jorge A. González</v>
      </c>
      <c r="C307" s="24" t="str">
        <f>IFERROR(__xludf.DUMMYFUNCTION("""COMPUTED_VALUE"""),"João Pessoa")</f>
        <v>João Pessoa</v>
      </c>
      <c r="D307" s="24" t="str">
        <f>IFERROR(__xludf.DUMMYFUNCTION("""COMPUTED_VALUE"""),"Editora IFPB")</f>
        <v>Editora IFPB</v>
      </c>
      <c r="E307" s="25">
        <f>IFERROR(__xludf.DUMMYFUNCTION("""COMPUTED_VALUE"""),2017.0)</f>
        <v>2017</v>
      </c>
      <c r="F307" s="24" t="str">
        <f>IFERROR(__xludf.DUMMYFUNCTION("""COMPUTED_VALUE"""),"Culturas; Comunicação; Sociedade; Antropologia; Televisão")</f>
        <v>Culturas; Comunicação; Sociedade; Antropologia; Televisão</v>
      </c>
      <c r="G307" s="28" t="str">
        <f>IFERROR(__xludf.DUMMYFUNCTION("""COMPUTED_VALUE"""),"9788578793876")</f>
        <v>9788578793876</v>
      </c>
      <c r="H307" s="29" t="str">
        <f>IFERROR(__xludf.DUMMYFUNCTION("""COMPUTED_VALUE"""),"http://editora.ifpb.edu.br/index.php/ifpb/catalog/book/91")</f>
        <v>http://editora.ifpb.edu.br/index.php/ifpb/catalog/book/91</v>
      </c>
      <c r="I307" s="24" t="str">
        <f>IFERROR(__xludf.DUMMYFUNCTION("""COMPUTED_VALUE"""),"Ciências Sociais Aplicadas")</f>
        <v>Ciências Sociais Aplicadas</v>
      </c>
    </row>
    <row r="308">
      <c r="A308" s="24" t="str">
        <f>IFERROR(__xludf.DUMMYFUNCTION("""COMPUTED_VALUE"""),"Manual de normalização bibliográfica para trabalhos científicos. 4 ed.*")</f>
        <v>Manual de normalização bibliográfica para trabalhos científicos. 4 ed.*</v>
      </c>
      <c r="B308" s="24" t="str">
        <f>IFERROR(__xludf.DUMMYFUNCTION("""COMPUTED_VALUE"""),"UEPG")</f>
        <v>UEPG</v>
      </c>
      <c r="C308" s="24" t="str">
        <f>IFERROR(__xludf.DUMMYFUNCTION("""COMPUTED_VALUE"""),"Ponta Grossa")</f>
        <v>Ponta Grossa</v>
      </c>
      <c r="D308" s="24" t="str">
        <f>IFERROR(__xludf.DUMMYFUNCTION("""COMPUTED_VALUE"""),"Editora UEPG")</f>
        <v>Editora UEPG</v>
      </c>
      <c r="E308" s="25">
        <f>IFERROR(__xludf.DUMMYFUNCTION("""COMPUTED_VALUE"""),2019.0)</f>
        <v>2019</v>
      </c>
      <c r="F308" s="24" t="str">
        <f>IFERROR(__xludf.DUMMYFUNCTION("""COMPUTED_VALUE"""),"A produção científica e intelectual da comunidade universitária da UEPG requer normalização e padronização adequadas que facilitem o acesso a consultas. Daí o propósito desta publicação: fornecer esclarecimentos necessários para uma perfeita apresentação "&amp;"dos trabalhos acadêmicos dentro dos padrões estabelecidos nas normas de documentação e informações da ABNT")</f>
        <v>A produção científica e intelectual da comunidade universitária da UEPG requer normalização e padronização adequadas que facilitem o acesso a consultas. Daí o propósito desta publicação: fornecer esclarecimentos necessários para uma perfeita apresentação dos trabalhos acadêmicos dentro dos padrões estabelecidos nas normas de documentação e informações da ABNT</v>
      </c>
      <c r="G308" s="28" t="str">
        <f>IFERROR(__xludf.DUMMYFUNCTION("""COMPUTED_VALUE"""),"987858694417")</f>
        <v>987858694417</v>
      </c>
      <c r="H308" s="29" t="str">
        <f>IFERROR(__xludf.DUMMYFUNCTION("""COMPUTED_VALUE"""),"https://portal-archipelagus.azurewebsites.net/farol/eduepg/ebook/manual-de-normalizacao-bibliografica-para-trabalhos-cientificos-4-ed-/1113903/")</f>
        <v>https://portal-archipelagus.azurewebsites.net/farol/eduepg/ebook/manual-de-normalizacao-bibliografica-para-trabalhos-cientificos-4-ed-/1113903/</v>
      </c>
      <c r="I308" s="24" t="str">
        <f>IFERROR(__xludf.DUMMYFUNCTION("""COMPUTED_VALUE"""),"Ciências Sociais Aplicadas")</f>
        <v>Ciências Sociais Aplicadas</v>
      </c>
    </row>
    <row r="309">
      <c r="A309" s="24" t="str">
        <f>IFERROR(__xludf.DUMMYFUNCTION("""COMPUTED_VALUE"""),"Manual de telejornalismo")</f>
        <v>Manual de telejornalismo</v>
      </c>
      <c r="B309" s="24" t="str">
        <f>IFERROR(__xludf.DUMMYFUNCTION("""COMPUTED_VALUE"""),"Luís Carlos Bittencourt")</f>
        <v>Luís Carlos Bittencourt</v>
      </c>
      <c r="C309" s="24" t="str">
        <f>IFERROR(__xludf.DUMMYFUNCTION("""COMPUTED_VALUE"""),"Rio de Janeiro")</f>
        <v>Rio de Janeiro</v>
      </c>
      <c r="D309" s="24" t="str">
        <f>IFERROR(__xludf.DUMMYFUNCTION("""COMPUTED_VALUE"""),"Editora UFRJ")</f>
        <v>Editora UFRJ</v>
      </c>
      <c r="E309" s="25">
        <f>IFERROR(__xludf.DUMMYFUNCTION("""COMPUTED_VALUE"""),1993.0)</f>
        <v>1993</v>
      </c>
      <c r="F309" s="24" t="str">
        <f>IFERROR(__xludf.DUMMYFUNCTION("""COMPUTED_VALUE"""),"Jornalismo; Telejornalismo; Reportagem")</f>
        <v>Jornalismo; Telejornalismo; Reportagem</v>
      </c>
      <c r="G309" s="28" t="str">
        <f>IFERROR(__xludf.DUMMYFUNCTION("""COMPUTED_VALUE"""),"8571080860")</f>
        <v>8571080860</v>
      </c>
      <c r="H309" s="29" t="str">
        <f>IFERROR(__xludf.DUMMYFUNCTION("""COMPUTED_VALUE"""),"http://www.editora.ufrj.br/DynamicItems/livrosabertos-1/ManualDeTelejornalismo_compressed.pdf")</f>
        <v>http://www.editora.ufrj.br/DynamicItems/livrosabertos-1/ManualDeTelejornalismo_compressed.pdf</v>
      </c>
      <c r="I309" s="24" t="str">
        <f>IFERROR(__xludf.DUMMYFUNCTION("""COMPUTED_VALUE"""),"Ciências Sociais Aplicadas")</f>
        <v>Ciências Sociais Aplicadas</v>
      </c>
    </row>
    <row r="310">
      <c r="A310" s="24" t="str">
        <f>IFERROR(__xludf.DUMMYFUNCTION("""COMPUTED_VALUE"""),"Meandros da Atenção e Gestão no Enfrentamento das Violências")</f>
        <v>Meandros da Atenção e Gestão no Enfrentamento das Violências</v>
      </c>
      <c r="B310" s="24" t="str">
        <f>IFERROR(__xludf.DUMMYFUNCTION("""COMPUTED_VALUE"""),"Luiza Jane Eyrede Souza, Vieira Antonio Rodrigues Ferreira Júnior, VerônicaMariadaSilvaMitros")</f>
        <v>Luiza Jane Eyrede Souza, Vieira Antonio Rodrigues Ferreira Júnior, VerônicaMariadaSilvaMitros</v>
      </c>
      <c r="C310" s="24" t="str">
        <f>IFERROR(__xludf.DUMMYFUNCTION("""COMPUTED_VALUE"""),"Sobral")</f>
        <v>Sobral</v>
      </c>
      <c r="D310" s="24" t="str">
        <f>IFERROR(__xludf.DUMMYFUNCTION("""COMPUTED_VALUE"""),"Edições UVA")</f>
        <v>Edições UVA</v>
      </c>
      <c r="E310" s="25">
        <f>IFERROR(__xludf.DUMMYFUNCTION("""COMPUTED_VALUE"""),2020.0)</f>
        <v>2020</v>
      </c>
      <c r="F310" s="24" t="str">
        <f>IFERROR(__xludf.DUMMYFUNCTION("""COMPUTED_VALUE"""),"Violências, Enfrentamento, Atenção, Gestão")</f>
        <v>Violências, Enfrentamento, Atenção, Gestão</v>
      </c>
      <c r="G310" s="28" t="str">
        <f>IFERROR(__xludf.DUMMYFUNCTION("""COMPUTED_VALUE"""),"9786587115047")</f>
        <v>9786587115047</v>
      </c>
      <c r="H310" s="29" t="str">
        <f>IFERROR(__xludf.DUMMYFUNCTION("""COMPUTED_VALUE"""),"http://www.uvanet.br/edicoes_uva/gera_xml.php?arquivo=meandros-atencao-gestao")</f>
        <v>http://www.uvanet.br/edicoes_uva/gera_xml.php?arquivo=meandros-atencao-gestao</v>
      </c>
      <c r="I310" s="24" t="str">
        <f>IFERROR(__xludf.DUMMYFUNCTION("""COMPUTED_VALUE"""),"Ciências Sociais Aplicadas")</f>
        <v>Ciências Sociais Aplicadas</v>
      </c>
    </row>
    <row r="311">
      <c r="A311" s="24" t="str">
        <f>IFERROR(__xludf.DUMMYFUNCTION("""COMPUTED_VALUE"""),"Mecanismos internacionais e internos de efetividade dos direitos fundamentais")</f>
        <v>Mecanismos internacionais e internos de efetividade dos direitos fundamentais</v>
      </c>
      <c r="B311" s="24" t="str">
        <f>IFERROR(__xludf.DUMMYFUNCTION("""COMPUTED_VALUE"""),"Narciso Leandro Xavier Baez, Pavel Sturma, Vinicius Almada Mozetic e Martin Faix")</f>
        <v>Narciso Leandro Xavier Baez, Pavel Sturma, Vinicius Almada Mozetic e Martin Faix</v>
      </c>
      <c r="C311" s="24" t="str">
        <f>IFERROR(__xludf.DUMMYFUNCTION("""COMPUTED_VALUE"""),"Joaçaba")</f>
        <v>Joaçaba</v>
      </c>
      <c r="D311" s="24" t="str">
        <f>IFERROR(__xludf.DUMMYFUNCTION("""COMPUTED_VALUE"""),"Unoesc")</f>
        <v>Unoesc</v>
      </c>
      <c r="E311" s="25">
        <f>IFERROR(__xludf.DUMMYFUNCTION("""COMPUTED_VALUE"""),2014.0)</f>
        <v>2014</v>
      </c>
      <c r="F311" s="24" t="str">
        <f>IFERROR(__xludf.DUMMYFUNCTION("""COMPUTED_VALUE"""),"Direitos fundamentais, Princípio da efetividade")</f>
        <v>Direitos fundamentais, Princípio da efetividade</v>
      </c>
      <c r="G311" s="28" t="str">
        <f>IFERROR(__xludf.DUMMYFUNCTION("""COMPUTED_VALUE"""),"9788584220199")</f>
        <v>9788584220199</v>
      </c>
      <c r="H311" s="29" t="str">
        <f>IFERROR(__xludf.DUMMYFUNCTION("""COMPUTED_VALUE"""),"https://www.unoesc.edu.br/images/uploads/editora/Mecanismos_internacionais.pdf")</f>
        <v>https://www.unoesc.edu.br/images/uploads/editora/Mecanismos_internacionais.pdf</v>
      </c>
      <c r="I311" s="24" t="str">
        <f>IFERROR(__xludf.DUMMYFUNCTION("""COMPUTED_VALUE"""),"Ciências Sociais Aplicadas")</f>
        <v>Ciências Sociais Aplicadas</v>
      </c>
    </row>
    <row r="312">
      <c r="A312" s="24" t="str">
        <f>IFERROR(__xludf.DUMMYFUNCTION("""COMPUTED_VALUE"""),"Memória de metalúrgicos – conflitos existenciais e contradições de classe")</f>
        <v>Memória de metalúrgicos – conflitos existenciais e contradições de classe</v>
      </c>
      <c r="B312" s="24" t="str">
        <f>IFERROR(__xludf.DUMMYFUNCTION("""COMPUTED_VALUE"""),"André Laino")</f>
        <v>André Laino</v>
      </c>
      <c r="C312" s="24" t="str">
        <f>IFERROR(__xludf.DUMMYFUNCTION("""COMPUTED_VALUE"""),"Niterói, RJ")</f>
        <v>Niterói, RJ</v>
      </c>
      <c r="D312" s="24" t="str">
        <f>IFERROR(__xludf.DUMMYFUNCTION("""COMPUTED_VALUE"""),"EdUFF")</f>
        <v>EdUFF</v>
      </c>
      <c r="E312" s="25">
        <f>IFERROR(__xludf.DUMMYFUNCTION("""COMPUTED_VALUE"""),2010.0)</f>
        <v>2010</v>
      </c>
      <c r="F312" s="24" t="str">
        <f>IFERROR(__xludf.DUMMYFUNCTION("""COMPUTED_VALUE"""),"Trabalho; Segurança no trabalho")</f>
        <v>Trabalho; Segurança no trabalho</v>
      </c>
      <c r="G312" s="28" t="str">
        <f>IFERROR(__xludf.DUMMYFUNCTION("""COMPUTED_VALUE"""),"9788522804863")</f>
        <v>9788522804863</v>
      </c>
      <c r="H312" s="29" t="str">
        <f>IFERROR(__xludf.DUMMYFUNCTION("""COMPUTED_VALUE"""),"http://www.eduff.uff.br/index.php/livros/187-memoria-de-metalurgicos-conflitos-existenciais-e-contradicoes-de-classe")</f>
        <v>http://www.eduff.uff.br/index.php/livros/187-memoria-de-metalurgicos-conflitos-existenciais-e-contradicoes-de-classe</v>
      </c>
      <c r="I312" s="24" t="str">
        <f>IFERROR(__xludf.DUMMYFUNCTION("""COMPUTED_VALUE"""),"Ciências Sociais Aplicadas")</f>
        <v>Ciências Sociais Aplicadas</v>
      </c>
    </row>
    <row r="313">
      <c r="A313" s="24" t="str">
        <f>IFERROR(__xludf.DUMMYFUNCTION("""COMPUTED_VALUE"""),"Memórias do X Congresso da Rede Euroamericana de Motricidade Humana e XXI Congreso Internacional de Ciencias de la Cultura Física")</f>
        <v>Memórias do X Congresso da Rede Euroamericana de Motricidade Humana e XXI Congreso Internacional de Ciencias de la Cultura Física</v>
      </c>
      <c r="B313" s="24" t="str">
        <f>IFERROR(__xludf.DUMMYFUNCTION("""COMPUTED_VALUE"""),"Rudy José Nodari Júnior, Gabriel Gastélum Cuadras, Josiane Aparecida de Jesus")</f>
        <v>Rudy José Nodari Júnior, Gabriel Gastélum Cuadras, Josiane Aparecida de Jesus</v>
      </c>
      <c r="C313" s="24" t="str">
        <f>IFERROR(__xludf.DUMMYFUNCTION("""COMPUTED_VALUE"""),"Joaçaba")</f>
        <v>Joaçaba</v>
      </c>
      <c r="D313" s="24" t="str">
        <f>IFERROR(__xludf.DUMMYFUNCTION("""COMPUTED_VALUE"""),"Unoesc")</f>
        <v>Unoesc</v>
      </c>
      <c r="E313" s="25">
        <f>IFERROR(__xludf.DUMMYFUNCTION("""COMPUTED_VALUE"""),2017.0)</f>
        <v>2017</v>
      </c>
      <c r="F313" s="24" t="str">
        <f>IFERROR(__xludf.DUMMYFUNCTION("""COMPUTED_VALUE"""),"Capacidade motora – Congressos e convenções,; I. Congreso Internacional de Ciencias de la Cultura; Física")</f>
        <v>Capacidade motora – Congressos e convenções,; I. Congreso Internacional de Ciencias de la Cultura; Física</v>
      </c>
      <c r="G313" s="28" t="str">
        <f>IFERROR(__xludf.DUMMYFUNCTION("""COMPUTED_VALUE"""),"9788584221370")</f>
        <v>9788584221370</v>
      </c>
      <c r="H313" s="29" t="str">
        <f>IFERROR(__xludf.DUMMYFUNCTION("""COMPUTED_VALUE"""),"https://www.unoesc.edu.br/images/uploads/editora/Memorias_do_congresso_de_euromotricidade.pdf")</f>
        <v>https://www.unoesc.edu.br/images/uploads/editora/Memorias_do_congresso_de_euromotricidade.pdf</v>
      </c>
      <c r="I313" s="24" t="str">
        <f>IFERROR(__xludf.DUMMYFUNCTION("""COMPUTED_VALUE"""),"Ciências Sociais Aplicadas")</f>
        <v>Ciências Sociais Aplicadas</v>
      </c>
    </row>
    <row r="314">
      <c r="A314" s="24" t="str">
        <f>IFERROR(__xludf.DUMMYFUNCTION("""COMPUTED_VALUE"""),"Memórias: Homenagem aos 50 anos da escola de serviço social de Niterói (1945 - 1995)")</f>
        <v>Memórias: Homenagem aos 50 anos da escola de serviço social de Niterói (1945 - 1995)</v>
      </c>
      <c r="B314" s="24" t="str">
        <f>IFERROR(__xludf.DUMMYFUNCTION("""COMPUTED_VALUE"""),"Violeta Campofiorito de Saldanha da Gama")</f>
        <v>Violeta Campofiorito de Saldanha da Gama</v>
      </c>
      <c r="C314" s="24" t="str">
        <f>IFERROR(__xludf.DUMMYFUNCTION("""COMPUTED_VALUE"""),"Niterói, RJ")</f>
        <v>Niterói, RJ</v>
      </c>
      <c r="D314" s="24" t="str">
        <f>IFERROR(__xludf.DUMMYFUNCTION("""COMPUTED_VALUE"""),"Editora da Universidade Federal Fluminense")</f>
        <v>Editora da Universidade Federal Fluminense</v>
      </c>
      <c r="E314" s="25">
        <f>IFERROR(__xludf.DUMMYFUNCTION("""COMPUTED_VALUE"""),1995.0)</f>
        <v>1995</v>
      </c>
      <c r="F314" s="24"/>
      <c r="G314" s="26"/>
      <c r="H314" s="29" t="str">
        <f>IFERROR(__xludf.DUMMYFUNCTION("""COMPUTED_VALUE"""),"http://www.eduff.uff.br/ebooks/Memorias-50-anos-da-Escola-de-Servico-Social-de-Niteroi.pdf")</f>
        <v>http://www.eduff.uff.br/ebooks/Memorias-50-anos-da-Escola-de-Servico-Social-de-Niteroi.pdf</v>
      </c>
      <c r="I314" s="24" t="str">
        <f>IFERROR(__xludf.DUMMYFUNCTION("""COMPUTED_VALUE"""),"Ciências Sociais Aplicadas")</f>
        <v>Ciências Sociais Aplicadas</v>
      </c>
    </row>
    <row r="315">
      <c r="A315" s="24" t="str">
        <f>IFERROR(__xludf.DUMMYFUNCTION("""COMPUTED_VALUE"""),"Memórias: lugar onde as lembranças não envelhecem (disponível temporariamente)")</f>
        <v>Memórias: lugar onde as lembranças não envelhecem (disponível temporariamente)</v>
      </c>
      <c r="B315" s="24" t="str">
        <f>IFERROR(__xludf.DUMMYFUNCTION("""COMPUTED_VALUE"""),"Bernardina M. J. Freire de Oliveira, Maria Nilza Barbosa Rosa, Nayana Rodrigues Cordeiro Mariano, Ana Cláudia Cruz Córdula, organizadoras")</f>
        <v>Bernardina M. J. Freire de Oliveira, Maria Nilza Barbosa Rosa, Nayana Rodrigues Cordeiro Mariano, Ana Cláudia Cruz Córdula, organizadoras</v>
      </c>
      <c r="C315" s="24" t="str">
        <f>IFERROR(__xludf.DUMMYFUNCTION("""COMPUTED_VALUE"""),"João Pessoa")</f>
        <v>João Pessoa</v>
      </c>
      <c r="D315" s="24" t="str">
        <f>IFERROR(__xludf.DUMMYFUNCTION("""COMPUTED_VALUE"""),"Editora da UFPB")</f>
        <v>Editora da UFPB</v>
      </c>
      <c r="E315" s="25">
        <f>IFERROR(__xludf.DUMMYFUNCTION("""COMPUTED_VALUE"""),2019.0)</f>
        <v>2019</v>
      </c>
      <c r="F315" s="24" t="str">
        <f>IFERROR(__xludf.DUMMYFUNCTION("""COMPUTED_VALUE"""),"Memória; Cultura popular; Patrimônio cultural")</f>
        <v>Memória; Cultura popular; Patrimônio cultural</v>
      </c>
      <c r="G315" s="28" t="str">
        <f>IFERROR(__xludf.DUMMYFUNCTION("""COMPUTED_VALUE"""),"9788523714659")</f>
        <v>9788523714659</v>
      </c>
      <c r="H315" s="29" t="str">
        <f>IFERROR(__xludf.DUMMYFUNCTION("""COMPUTED_VALUE"""),"http://www.editora.ufpb.br/sistema/press5/index.php/UFPB/catalog/book/363")</f>
        <v>http://www.editora.ufpb.br/sistema/press5/index.php/UFPB/catalog/book/363</v>
      </c>
      <c r="I315" s="24" t="str">
        <f>IFERROR(__xludf.DUMMYFUNCTION("""COMPUTED_VALUE"""),"Ciências Sociais Aplicadas")</f>
        <v>Ciências Sociais Aplicadas</v>
      </c>
    </row>
    <row r="316">
      <c r="A316" s="24" t="str">
        <f>IFERROR(__xludf.DUMMYFUNCTION("""COMPUTED_VALUE"""),"Mercados e comercialização de produtos agrícolas")</f>
        <v>Mercados e comercialização de produtos agrícolas</v>
      </c>
      <c r="B316" s="24" t="str">
        <f>IFERROR(__xludf.DUMMYFUNCTION("""COMPUTED_VALUE"""),"Waquil, Paulo Dabdab; Miele, Marcelo; Schultz, Glauco ")</f>
        <v>Waquil, Paulo Dabdab; Miele, Marcelo; Schultz, Glauco </v>
      </c>
      <c r="C316" s="24" t="str">
        <f>IFERROR(__xludf.DUMMYFUNCTION("""COMPUTED_VALUE"""),"Porto Alegre")</f>
        <v>Porto Alegre</v>
      </c>
      <c r="D316" s="24" t="str">
        <f>IFERROR(__xludf.DUMMYFUNCTION("""COMPUTED_VALUE"""),"UFRGS")</f>
        <v>UFRGS</v>
      </c>
      <c r="E316" s="25">
        <f>IFERROR(__xludf.DUMMYFUNCTION("""COMPUTED_VALUE"""),2010.0)</f>
        <v>2010</v>
      </c>
      <c r="F316" s="24" t="str">
        <f>IFERROR(__xludf.DUMMYFUNCTION("""COMPUTED_VALUE"""),"Comercialização; Estudo de caso; Mercado; Produto agrícola")</f>
        <v>Comercialização; Estudo de caso; Mercado; Produto agrícola</v>
      </c>
      <c r="G316" s="28" t="str">
        <f>IFERROR(__xludf.DUMMYFUNCTION("""COMPUTED_VALUE"""),"9788538600985")</f>
        <v>9788538600985</v>
      </c>
      <c r="H316" s="29" t="str">
        <f>IFERROR(__xludf.DUMMYFUNCTION("""COMPUTED_VALUE"""),"http://hdl.handle.net/10183/56447")</f>
        <v>http://hdl.handle.net/10183/56447</v>
      </c>
      <c r="I316" s="24" t="str">
        <f>IFERROR(__xludf.DUMMYFUNCTION("""COMPUTED_VALUE"""),"Ciências Sociais Aplicadas")</f>
        <v>Ciências Sociais Aplicadas</v>
      </c>
    </row>
    <row r="317">
      <c r="A317" s="24" t="str">
        <f>IFERROR(__xludf.DUMMYFUNCTION("""COMPUTED_VALUE"""),"Mercados e comercialização: perspectivas teórica e histórica sobre os universos da produção e do consumo")</f>
        <v>Mercados e comercialização: perspectivas teórica e histórica sobre os universos da produção e do consumo</v>
      </c>
      <c r="B317" s="24" t="str">
        <f>IFERROR(__xludf.DUMMYFUNCTION("""COMPUTED_VALUE"""),"Schultz, Glauco ")</f>
        <v>Schultz, Glauco </v>
      </c>
      <c r="C317" s="24" t="str">
        <f>IFERROR(__xludf.DUMMYFUNCTION("""COMPUTED_VALUE"""),"Porto Alegre")</f>
        <v>Porto Alegre</v>
      </c>
      <c r="D317" s="24" t="str">
        <f>IFERROR(__xludf.DUMMYFUNCTION("""COMPUTED_VALUE"""),"UFRGS")</f>
        <v>UFRGS</v>
      </c>
      <c r="E317" s="25">
        <f>IFERROR(__xludf.DUMMYFUNCTION("""COMPUTED_VALUE"""),2018.0)</f>
        <v>2018</v>
      </c>
      <c r="F317" s="24" t="str">
        <f>IFERROR(__xludf.DUMMYFUNCTION("""COMPUTED_VALUE"""),"Comercialização; Mercado")</f>
        <v>Comercialização; Mercado</v>
      </c>
      <c r="G317" s="28" t="str">
        <f>IFERROR(__xludf.DUMMYFUNCTION("""COMPUTED_VALUE"""),"9788538604587 (pdf); 9788538604594 (epub)")</f>
        <v>9788538604587 (pdf); 9788538604594 (epub)</v>
      </c>
      <c r="H317" s="29" t="str">
        <f>IFERROR(__xludf.DUMMYFUNCTION("""COMPUTED_VALUE"""),"http://hdl.handle.net/10183/184222")</f>
        <v>http://hdl.handle.net/10183/184222</v>
      </c>
      <c r="I317" s="24" t="str">
        <f>IFERROR(__xludf.DUMMYFUNCTION("""COMPUTED_VALUE"""),"Ciências Sociais Aplicadas")</f>
        <v>Ciências Sociais Aplicadas</v>
      </c>
    </row>
    <row r="318">
      <c r="A318" s="24" t="str">
        <f>IFERROR(__xludf.DUMMYFUNCTION("""COMPUTED_VALUE"""),"Metodologia de Incubação: experiências de economia solidária em São Bernardo do Campo")</f>
        <v>Metodologia de Incubação: experiências de economia solidária em São Bernardo do Campo</v>
      </c>
      <c r="B318" s="24" t="str">
        <f>IFERROR(__xludf.DUMMYFUNCTION("""COMPUTED_VALUE"""),"Daniela Sampaio Kavasaki Gomes; Renata Mendes; Cristina Paixão Lopes")</f>
        <v>Daniela Sampaio Kavasaki Gomes; Renata Mendes; Cristina Paixão Lopes</v>
      </c>
      <c r="C318" s="24" t="str">
        <f>IFERROR(__xludf.DUMMYFUNCTION("""COMPUTED_VALUE"""),"São Bernardo do Campo, SP")</f>
        <v>São Bernardo do Campo, SP</v>
      </c>
      <c r="D318" s="24" t="str">
        <f>IFERROR(__xludf.DUMMYFUNCTION("""COMPUTED_VALUE"""),"UMESP")</f>
        <v>UMESP</v>
      </c>
      <c r="E318" s="25">
        <f>IFERROR(__xludf.DUMMYFUNCTION("""COMPUTED_VALUE"""),2015.0)</f>
        <v>2015</v>
      </c>
      <c r="F318" s="24" t="str">
        <f>IFERROR(__xludf.DUMMYFUNCTION("""COMPUTED_VALUE"""),"Incubadora de empreendimentos solidários. Metodologia. Economia solidária. Incubadora de empresas")</f>
        <v>Incubadora de empreendimentos solidários. Metodologia. Economia solidária. Incubadora de empresas</v>
      </c>
      <c r="G318" s="28" t="str">
        <f>IFERROR(__xludf.DUMMYFUNCTION("""COMPUTED_VALUE"""),"9788578143039")</f>
        <v>9788578143039</v>
      </c>
      <c r="H318" s="29" t="str">
        <f>IFERROR(__xludf.DUMMYFUNCTION("""COMPUTED_VALUE"""),"http://editora.metodista.br/livros-gratis/livrocompleto.pdf/at_download/file")</f>
        <v>http://editora.metodista.br/livros-gratis/livrocompleto.pdf/at_download/file</v>
      </c>
      <c r="I318" s="24" t="str">
        <f>IFERROR(__xludf.DUMMYFUNCTION("""COMPUTED_VALUE"""),"Ciências Sociais Aplicadas")</f>
        <v>Ciências Sociais Aplicadas</v>
      </c>
    </row>
    <row r="319">
      <c r="A319" s="24" t="str">
        <f>IFERROR(__xludf.DUMMYFUNCTION("""COMPUTED_VALUE"""),"Metodologia e relações internacionais: debates contemporâneos. vol.1")</f>
        <v>Metodologia e relações internacionais: debates contemporâneos. vol.1</v>
      </c>
      <c r="B319" s="24" t="str">
        <f>IFERROR(__xludf.DUMMYFUNCTION("""COMPUTED_VALUE"""),"Isabel Rocha de Siqueira; Bruno Magalhães; Tatiana Castelo-Branco; Sebastián Granda; (orgs.)")</f>
        <v>Isabel Rocha de Siqueira; Bruno Magalhães; Tatiana Castelo-Branco; Sebastián Granda; (orgs.)</v>
      </c>
      <c r="C319" s="24" t="str">
        <f>IFERROR(__xludf.DUMMYFUNCTION("""COMPUTED_VALUE"""),"Rio de Janeiro")</f>
        <v>Rio de Janeiro</v>
      </c>
      <c r="D319" s="24" t="str">
        <f>IFERROR(__xludf.DUMMYFUNCTION("""COMPUTED_VALUE"""),"Editora PUC Rio")</f>
        <v>Editora PUC Rio</v>
      </c>
      <c r="E319" s="25">
        <f>IFERROR(__xludf.DUMMYFUNCTION("""COMPUTED_VALUE"""),2018.0)</f>
        <v>2018</v>
      </c>
      <c r="F319" s="24" t="str">
        <f>IFERROR(__xludf.DUMMYFUNCTION("""COMPUTED_VALUE"""),"Relações internacionais – Metodologia")</f>
        <v>Relações internacionais – Metodologia</v>
      </c>
      <c r="G319" s="28" t="str">
        <f>IFERROR(__xludf.DUMMYFUNCTION("""COMPUTED_VALUE"""),"9788580062380")</f>
        <v>9788580062380</v>
      </c>
      <c r="H319" s="29" t="str">
        <f>IFERROR(__xludf.DUMMYFUNCTION("""COMPUTED_VALUE"""),"http://www.editora.puc-rio.br/media/miolo%20metodologia-2.pdf")</f>
        <v>http://www.editora.puc-rio.br/media/miolo%20metodologia-2.pdf</v>
      </c>
      <c r="I319" s="24" t="str">
        <f>IFERROR(__xludf.DUMMYFUNCTION("""COMPUTED_VALUE"""),"Ciências Sociais Aplicadas")</f>
        <v>Ciências Sociais Aplicadas</v>
      </c>
    </row>
    <row r="320">
      <c r="A320" s="24" t="str">
        <f>IFERROR(__xludf.DUMMYFUNCTION("""COMPUTED_VALUE"""),"Metodologias e analíticas qualitativas em pesquisa organizacional")</f>
        <v>Metodologias e analíticas qualitativas em pesquisa organizacional</v>
      </c>
      <c r="B320" s="24" t="str">
        <f>IFERROR(__xludf.DUMMYFUNCTION("""COMPUTED_VALUE"""),"Eloisio Moulin de Souza (org.)")</f>
        <v>Eloisio Moulin de Souza (org.)</v>
      </c>
      <c r="C320" s="24" t="str">
        <f>IFERROR(__xludf.DUMMYFUNCTION("""COMPUTED_VALUE"""),"Vitória")</f>
        <v>Vitória</v>
      </c>
      <c r="D320" s="24" t="str">
        <f>IFERROR(__xludf.DUMMYFUNCTION("""COMPUTED_VALUE"""),"EDUFES")</f>
        <v>EDUFES</v>
      </c>
      <c r="E320" s="25">
        <f>IFERROR(__xludf.DUMMYFUNCTION("""COMPUTED_VALUE"""),2014.0)</f>
        <v>2014</v>
      </c>
      <c r="F320" s="24" t="str">
        <f>IFERROR(__xludf.DUMMYFUNCTION("""COMPUTED_VALUE"""),"Administração; Metodologia; Pesquisa organizacional; Cartografia; Representações sociais")</f>
        <v>Administração; Metodologia; Pesquisa organizacional; Cartografia; Representações sociais</v>
      </c>
      <c r="G320" s="28" t="str">
        <f>IFERROR(__xludf.DUMMYFUNCTION("""COMPUTED_VALUE"""),"9788577722501")</f>
        <v>9788577722501</v>
      </c>
      <c r="H320" s="29" t="str">
        <f>IFERROR(__xludf.DUMMYFUNCTION("""COMPUTED_VALUE"""),"http://repositorio.ufes.br/bitstream/10/939/1/livro%20edufes%20Metodologias%20e%20anal%C3%ADticas%20qualitativas%20em%20pesquisa%20organizacional.pdf")</f>
        <v>http://repositorio.ufes.br/bitstream/10/939/1/livro%20edufes%20Metodologias%20e%20anal%C3%ADticas%20qualitativas%20em%20pesquisa%20organizacional.pdf</v>
      </c>
      <c r="I320" s="24" t="str">
        <f>IFERROR(__xludf.DUMMYFUNCTION("""COMPUTED_VALUE"""),"Ciências Sociais Aplicadas")</f>
        <v>Ciências Sociais Aplicadas</v>
      </c>
    </row>
    <row r="321">
      <c r="A321" s="24" t="str">
        <f>IFERROR(__xludf.DUMMYFUNCTION("""COMPUTED_VALUE"""),"Mídia alter{n}ativa: estratégias e desafi os para a comunicação hegemônica")</f>
        <v>Mídia alter{n}ativa: estratégias e desafi os para a comunicação hegemônica</v>
      </c>
      <c r="B321" s="24" t="str">
        <f>IFERROR(__xludf.DUMMYFUNCTION("""COMPUTED_VALUE"""),"organizador Ricardo O. Freitas")</f>
        <v>organizador Ricardo O. Freitas</v>
      </c>
      <c r="C321" s="24" t="str">
        <f>IFERROR(__xludf.DUMMYFUNCTION("""COMPUTED_VALUE"""),"Ilhéus, BA")</f>
        <v>Ilhéus, BA</v>
      </c>
      <c r="D321" s="24" t="str">
        <f>IFERROR(__xludf.DUMMYFUNCTION("""COMPUTED_VALUE"""),"Editus")</f>
        <v>Editus</v>
      </c>
      <c r="E321" s="25">
        <f>IFERROR(__xludf.DUMMYFUNCTION("""COMPUTED_VALUE"""),2009.0)</f>
        <v>2009</v>
      </c>
      <c r="F321" s="24" t="str">
        <f>IFERROR(__xludf.DUMMYFUNCTION("""COMPUTED_VALUE"""),"Comunicação de massa – Aspectos sociais; Comunicação e tecnologia")</f>
        <v>Comunicação de massa – Aspectos sociais; Comunicação e tecnologia</v>
      </c>
      <c r="G321" s="28" t="str">
        <f>IFERROR(__xludf.DUMMYFUNCTION("""COMPUTED_VALUE"""),"9788574551623")</f>
        <v>9788574551623</v>
      </c>
      <c r="H321" s="29" t="str">
        <f>IFERROR(__xludf.DUMMYFUNCTION("""COMPUTED_VALUE"""),"http://www.uesc.br/editora/livrosdigitais2016/midia_alternativa.pdf")</f>
        <v>http://www.uesc.br/editora/livrosdigitais2016/midia_alternativa.pdf</v>
      </c>
      <c r="I321" s="24" t="str">
        <f>IFERROR(__xludf.DUMMYFUNCTION("""COMPUTED_VALUE"""),"Ciências Sociais Aplicadas")</f>
        <v>Ciências Sociais Aplicadas</v>
      </c>
    </row>
    <row r="322">
      <c r="A322" s="24" t="str">
        <f>IFERROR(__xludf.DUMMYFUNCTION("""COMPUTED_VALUE"""),"Mídia, informação e meio ambiente")</f>
        <v>Mídia, informação e meio ambiente</v>
      </c>
      <c r="B322" s="24" t="str">
        <f>IFERROR(__xludf.DUMMYFUNCTION("""COMPUTED_VALUE"""),"Simão Farias Almeida; Angela Maria Silva (org.)")</f>
        <v>Simão Farias Almeida; Angela Maria Silva (org.)</v>
      </c>
      <c r="C322" s="24" t="str">
        <f>IFERROR(__xludf.DUMMYFUNCTION("""COMPUTED_VALUE"""),"Boa Vista ")</f>
        <v>Boa Vista </v>
      </c>
      <c r="D322" s="24" t="str">
        <f>IFERROR(__xludf.DUMMYFUNCTION("""COMPUTED_VALUE"""),"UFRR")</f>
        <v>UFRR</v>
      </c>
      <c r="E322" s="25">
        <f>IFERROR(__xludf.DUMMYFUNCTION("""COMPUTED_VALUE"""),2016.0)</f>
        <v>2016</v>
      </c>
      <c r="F322" s="24" t="str">
        <f>IFERROR(__xludf.DUMMYFUNCTION("""COMPUTED_VALUE"""),"Jornalismo ambiental; Divulgação científica; Marketing ambiental; Cinema ambiental; Amazônia")</f>
        <v>Jornalismo ambiental; Divulgação científica; Marketing ambiental; Cinema ambiental; Amazônia</v>
      </c>
      <c r="G322" s="28" t="str">
        <f>IFERROR(__xludf.DUMMYFUNCTION("""COMPUTED_VALUE"""),"9788582881095")</f>
        <v>9788582881095</v>
      </c>
      <c r="H322" s="29" t="str">
        <f>IFERROR(__xludf.DUMMYFUNCTION("""COMPUTED_VALUE"""),"http://ufrr.br/editora/index.php/editais/category/40-editais?download=392:midia-informacao-e-meio-ambiente")</f>
        <v>http://ufrr.br/editora/index.php/editais/category/40-editais?download=392:midia-informacao-e-meio-ambiente</v>
      </c>
      <c r="I322" s="24" t="str">
        <f>IFERROR(__xludf.DUMMYFUNCTION("""COMPUTED_VALUE"""),"Ciências Sociais Aplicadas")</f>
        <v>Ciências Sociais Aplicadas</v>
      </c>
    </row>
    <row r="323">
      <c r="A323" s="24" t="str">
        <f>IFERROR(__xludf.DUMMYFUNCTION("""COMPUTED_VALUE"""),"Migrantes Forçad@s: Conceitos e Contextos")</f>
        <v>Migrantes Forçad@s: Conceitos e Contextos</v>
      </c>
      <c r="B323" s="24" t="str">
        <f>IFERROR(__xludf.DUMMYFUNCTION("""COMPUTED_VALUE"""),"Liliana Lyra Jubilut; Fernanda de Magalhães Dias Frinhani; Rachel de Oliveira Lopes (org.)")</f>
        <v>Liliana Lyra Jubilut; Fernanda de Magalhães Dias Frinhani; Rachel de Oliveira Lopes (org.)</v>
      </c>
      <c r="C323" s="24" t="str">
        <f>IFERROR(__xludf.DUMMYFUNCTION("""COMPUTED_VALUE"""),"Boa Vista ")</f>
        <v>Boa Vista </v>
      </c>
      <c r="D323" s="24" t="str">
        <f>IFERROR(__xludf.DUMMYFUNCTION("""COMPUTED_VALUE"""),"UFRR")</f>
        <v>UFRR</v>
      </c>
      <c r="E323" s="25">
        <f>IFERROR(__xludf.DUMMYFUNCTION("""COMPUTED_VALUE"""),2018.0)</f>
        <v>2018</v>
      </c>
      <c r="F323" s="24" t="str">
        <f>IFERROR(__xludf.DUMMYFUNCTION("""COMPUTED_VALUE"""),"Migrações")</f>
        <v>Migrações</v>
      </c>
      <c r="G323" s="28" t="str">
        <f>IFERROR(__xludf.DUMMYFUNCTION("""COMPUTED_VALUE"""),"9788582881613")</f>
        <v>9788582881613</v>
      </c>
      <c r="H323" s="29" t="str">
        <f>IFERROR(__xludf.DUMMYFUNCTION("""COMPUTED_VALUE"""),"http://ufrr.br/editora/index.php/editais/category/40-editais?download=406:aonuaos70")</f>
        <v>http://ufrr.br/editora/index.php/editais/category/40-editais?download=406:aonuaos70</v>
      </c>
      <c r="I323" s="24" t="str">
        <f>IFERROR(__xludf.DUMMYFUNCTION("""COMPUTED_VALUE"""),"Ciências Sociais Aplicadas")</f>
        <v>Ciências Sociais Aplicadas</v>
      </c>
    </row>
    <row r="324">
      <c r="A324" s="24" t="str">
        <f>IFERROR(__xludf.DUMMYFUNCTION("""COMPUTED_VALUE"""),"Modelo integrado de transformação institucional: o caso do Ministério do Desenvolvimento, Indústria e Comércio Exterior")</f>
        <v>Modelo integrado de transformação institucional: o caso do Ministério do Desenvolvimento, Indústria e Comércio Exterior</v>
      </c>
      <c r="B324" s="24" t="str">
        <f>IFERROR(__xludf.DUMMYFUNCTION("""COMPUTED_VALUE"""),"Henkin, Helio ")</f>
        <v>Henkin, Helio </v>
      </c>
      <c r="C324" s="24" t="str">
        <f>IFERROR(__xludf.DUMMYFUNCTION("""COMPUTED_VALUE"""),"Porto Alegre")</f>
        <v>Porto Alegre</v>
      </c>
      <c r="D324" s="24" t="str">
        <f>IFERROR(__xludf.DUMMYFUNCTION("""COMPUTED_VALUE"""),"UFRGS")</f>
        <v>UFRGS</v>
      </c>
      <c r="E324" s="25">
        <f>IFERROR(__xludf.DUMMYFUNCTION("""COMPUTED_VALUE"""),2014.0)</f>
        <v>2014</v>
      </c>
      <c r="F324" s="24" t="str">
        <f>IFERROR(__xludf.DUMMYFUNCTION("""COMPUTED_VALUE"""),"Administração pública : Brasil; Brasil. Ministério do Desenvolvimento, Indústria e Comércio Exterior; Gestão de pessoas; Planejamento estratégico")</f>
        <v>Administração pública : Brasil; Brasil. Ministério do Desenvolvimento, Indústria e Comércio Exterior; Gestão de pessoas; Planejamento estratégico</v>
      </c>
      <c r="G324" s="28" t="str">
        <f>IFERROR(__xludf.DUMMYFUNCTION("""COMPUTED_VALUE"""),"9788538604792")</f>
        <v>9788538604792</v>
      </c>
      <c r="H324" s="29" t="str">
        <f>IFERROR(__xludf.DUMMYFUNCTION("""COMPUTED_VALUE"""),"http://hdl.handle.net/10183/197189")</f>
        <v>http://hdl.handle.net/10183/197189</v>
      </c>
      <c r="I324" s="24" t="str">
        <f>IFERROR(__xludf.DUMMYFUNCTION("""COMPUTED_VALUE"""),"Ciências Sociais Aplicadas")</f>
        <v>Ciências Sociais Aplicadas</v>
      </c>
    </row>
    <row r="325">
      <c r="A325" s="24" t="str">
        <f>IFERROR(__xludf.DUMMYFUNCTION("""COMPUTED_VALUE"""),"Modernização, mercado e democracia : políticas e economia em sociedades complexas")</f>
        <v>Modernização, mercado e democracia : políticas e economia em sociedades complexas</v>
      </c>
      <c r="B325" s="24" t="str">
        <f>IFERROR(__xludf.DUMMYFUNCTION("""COMPUTED_VALUE"""),"Reis, Bruno Pinheiro Wanderley ")</f>
        <v>Reis, Bruno Pinheiro Wanderley </v>
      </c>
      <c r="C325" s="24" t="str">
        <f>IFERROR(__xludf.DUMMYFUNCTION("""COMPUTED_VALUE"""),"Porto Alegre")</f>
        <v>Porto Alegre</v>
      </c>
      <c r="D325" s="24" t="str">
        <f>IFERROR(__xludf.DUMMYFUNCTION("""COMPUTED_VALUE"""),"UFRGS")</f>
        <v>UFRGS</v>
      </c>
      <c r="E325" s="25">
        <f>IFERROR(__xludf.DUMMYFUNCTION("""COMPUTED_VALUE"""),2020.0)</f>
        <v>2020</v>
      </c>
      <c r="F325" s="24" t="str">
        <f>IFERROR(__xludf.DUMMYFUNCTION("""COMPUTED_VALUE"""),"Capitalismo; Democracia; Desenvolvimento econômico; Política")</f>
        <v>Capitalismo; Democracia; Desenvolvimento econômico; Política</v>
      </c>
      <c r="G325" s="28" t="str">
        <f>IFERROR(__xludf.DUMMYFUNCTION("""COMPUTED_VALUE"""),"9786557250136")</f>
        <v>9786557250136</v>
      </c>
      <c r="H325" s="29" t="str">
        <f>IFERROR(__xludf.DUMMYFUNCTION("""COMPUTED_VALUE"""),"http://hdl.handle.net/10183/213593")</f>
        <v>http://hdl.handle.net/10183/213593</v>
      </c>
      <c r="I325" s="24" t="str">
        <f>IFERROR(__xludf.DUMMYFUNCTION("""COMPUTED_VALUE"""),"Ciências Sociais Aplicadas")</f>
        <v>Ciências Sociais Aplicadas</v>
      </c>
    </row>
    <row r="326">
      <c r="A326" s="24" t="str">
        <f>IFERROR(__xludf.DUMMYFUNCTION("""COMPUTED_VALUE"""),"Mosaico econômico: do global ao regional ")</f>
        <v>Mosaico econômico: do global ao regional </v>
      </c>
      <c r="B326" s="24" t="str">
        <f>IFERROR(__xludf.DUMMYFUNCTION("""COMPUTED_VALUE"""),"Aline Conceição Souza, organizadora; Cíntia do Nascimento Fortaleza ... (et al.) ")</f>
        <v>Aline Conceição Souza, organizadora; Cíntia do Nascimento Fortaleza ... (et al.) </v>
      </c>
      <c r="C326" s="24" t="str">
        <f>IFERROR(__xludf.DUMMYFUNCTION("""COMPUTED_VALUE"""),"Ilhéus, BA")</f>
        <v>Ilhéus, BA</v>
      </c>
      <c r="D326" s="24" t="str">
        <f>IFERROR(__xludf.DUMMYFUNCTION("""COMPUTED_VALUE"""),"Editus")</f>
        <v>Editus</v>
      </c>
      <c r="E326" s="25">
        <f>IFERROR(__xludf.DUMMYFUNCTION("""COMPUTED_VALUE"""),2014.0)</f>
        <v>2014</v>
      </c>
      <c r="F326" s="24" t="str">
        <f>IFERROR(__xludf.DUMMYFUNCTION("""COMPUTED_VALUE"""),"Economia – Bahia")</f>
        <v>Economia – Bahia</v>
      </c>
      <c r="G326" s="28" t="str">
        <f>IFERROR(__xludf.DUMMYFUNCTION("""COMPUTED_VALUE"""),"9788574553450")</f>
        <v>9788574553450</v>
      </c>
      <c r="H326" s="29" t="str">
        <f>IFERROR(__xludf.DUMMYFUNCTION("""COMPUTED_VALUE"""),"http://www.uesc.br/editora/livrosdigitais2015/mosaico_economico.pdf")</f>
        <v>http://www.uesc.br/editora/livrosdigitais2015/mosaico_economico.pdf</v>
      </c>
      <c r="I326" s="24" t="str">
        <f>IFERROR(__xludf.DUMMYFUNCTION("""COMPUTED_VALUE"""),"Ciências Sociais Aplicadas")</f>
        <v>Ciências Sociais Aplicadas</v>
      </c>
    </row>
    <row r="327">
      <c r="A327" s="24" t="str">
        <f>IFERROR(__xludf.DUMMYFUNCTION("""COMPUTED_VALUE"""),"Mulheres e destituição do poder familiar: interseccionalidade de gênero, raça e classe em espaço(s) de violências(s) e sistema de Justiça")</f>
        <v>Mulheres e destituição do poder familiar: interseccionalidade de gênero, raça e classe em espaço(s) de violências(s) e sistema de Justiça</v>
      </c>
      <c r="B327" s="24" t="str">
        <f>IFERROR(__xludf.DUMMYFUNCTION("""COMPUTED_VALUE"""),"Larissa Thielle Arcaro")</f>
        <v>Larissa Thielle Arcaro</v>
      </c>
      <c r="C327" s="24" t="str">
        <f>IFERROR(__xludf.DUMMYFUNCTION("""COMPUTED_VALUE"""),"Joaçaba")</f>
        <v>Joaçaba</v>
      </c>
      <c r="D327" s="24" t="str">
        <f>IFERROR(__xludf.DUMMYFUNCTION("""COMPUTED_VALUE"""),"Unoesc")</f>
        <v>Unoesc</v>
      </c>
      <c r="E327" s="25">
        <f>IFERROR(__xludf.DUMMYFUNCTION("""COMPUTED_VALUE"""),2020.0)</f>
        <v>2020</v>
      </c>
      <c r="F327" s="24" t="str">
        <f>IFERROR(__xludf.DUMMYFUNCTION("""COMPUTED_VALUE"""),"Direito de família, Poder familiar, Violência familiar")</f>
        <v>Direito de família, Poder familiar, Violência familiar</v>
      </c>
      <c r="G327" s="28" t="str">
        <f>IFERROR(__xludf.DUMMYFUNCTION("""COMPUTED_VALUE"""),"9786586158250")</f>
        <v>9786586158250</v>
      </c>
      <c r="H327" s="29" t="str">
        <f>IFERROR(__xludf.DUMMYFUNCTION("""COMPUTED_VALUE"""),"https://www.unoesc.edu.br/images/uploads/editora/Larissa_Arcaro_-_Mulheres_e_destituição.pdf")</f>
        <v>https://www.unoesc.edu.br/images/uploads/editora/Larissa_Arcaro_-_Mulheres_e_destituição.pdf</v>
      </c>
      <c r="I327" s="24" t="str">
        <f>IFERROR(__xludf.DUMMYFUNCTION("""COMPUTED_VALUE"""),"Ciências Sociais Aplicadas")</f>
        <v>Ciências Sociais Aplicadas</v>
      </c>
    </row>
    <row r="328">
      <c r="A328" s="24" t="str">
        <f>IFERROR(__xludf.DUMMYFUNCTION("""COMPUTED_VALUE"""),"Múltiplas Abordagens da Gestão da Informação e do Conhecimento no Contexto Acadêmico da Ciência da Informação")</f>
        <v>Múltiplas Abordagens da Gestão da Informação e do Conhecimento no Contexto Acadêmico da Ciência da Informação</v>
      </c>
      <c r="B328" s="24" t="str">
        <f>IFERROR(__xludf.DUMMYFUNCTION("""COMPUTED_VALUE"""),"Emeide Nóbrega Duarte, Simone Bastos Paiva, Alzira Karla Araújo da Silva (Orgs.).")</f>
        <v>Emeide Nóbrega Duarte, Simone Bastos Paiva, Alzira Karla Araújo da Silva (Orgs.).</v>
      </c>
      <c r="C328" s="24" t="str">
        <f>IFERROR(__xludf.DUMMYFUNCTION("""COMPUTED_VALUE"""),"João Pessoa")</f>
        <v>João Pessoa</v>
      </c>
      <c r="D328" s="24" t="str">
        <f>IFERROR(__xludf.DUMMYFUNCTION("""COMPUTED_VALUE"""),"Editora da UFPB")</f>
        <v>Editora da UFPB</v>
      </c>
      <c r="E328" s="25">
        <f>IFERROR(__xludf.DUMMYFUNCTION("""COMPUTED_VALUE"""),2014.0)</f>
        <v>2014</v>
      </c>
      <c r="F328" s="24" t="str">
        <f>IFERROR(__xludf.DUMMYFUNCTION("""COMPUTED_VALUE"""),"Gestão da informação; Fluxo da informação; Gestão do conhecimento; Redes socais; Capital intelectual")</f>
        <v>Gestão da informação; Fluxo da informação; Gestão do conhecimento; Redes socais; Capital intelectual</v>
      </c>
      <c r="G328" s="28" t="str">
        <f>IFERROR(__xludf.DUMMYFUNCTION("""COMPUTED_VALUE"""),"9788523708696")</f>
        <v>9788523708696</v>
      </c>
      <c r="H328" s="29" t="str">
        <f>IFERROR(__xludf.DUMMYFUNCTION("""COMPUTED_VALUE"""),"http://www.editora.ufpb.br/sistema/press5/index.php/UFPB/catalog/book/547")</f>
        <v>http://www.editora.ufpb.br/sistema/press5/index.php/UFPB/catalog/book/547</v>
      </c>
      <c r="I328" s="24" t="str">
        <f>IFERROR(__xludf.DUMMYFUNCTION("""COMPUTED_VALUE"""),"Ciências Sociais Aplicadas")</f>
        <v>Ciências Sociais Aplicadas</v>
      </c>
    </row>
    <row r="329">
      <c r="A329" s="24" t="str">
        <f>IFERROR(__xludf.DUMMYFUNCTION("""COMPUTED_VALUE"""),"Mundos do Direito econômico do Mundo : Sociedade, economia e crime")</f>
        <v>Mundos do Direito econômico do Mundo : Sociedade, economia e crime</v>
      </c>
      <c r="B329" s="24" t="str">
        <f>IFERROR(__xludf.DUMMYFUNCTION("""COMPUTED_VALUE"""),"Luciano Nascimento Silva (org.)")</f>
        <v>Luciano Nascimento Silva (org.)</v>
      </c>
      <c r="C329" s="24" t="str">
        <f>IFERROR(__xludf.DUMMYFUNCTION("""COMPUTED_VALUE"""),"Campina Grande")</f>
        <v>Campina Grande</v>
      </c>
      <c r="D329" s="24" t="str">
        <f>IFERROR(__xludf.DUMMYFUNCTION("""COMPUTED_VALUE"""),"EDUEPB")</f>
        <v>EDUEPB</v>
      </c>
      <c r="E329" s="25">
        <f>IFERROR(__xludf.DUMMYFUNCTION("""COMPUTED_VALUE"""),2020.0)</f>
        <v>2020</v>
      </c>
      <c r="F329" s="24" t="str">
        <f>IFERROR(__xludf.DUMMYFUNCTION("""COMPUTED_VALUE"""),"Direito econômico. Sociologia da Economia. Sistemas sociais - Teoria. Direito e; Crime")</f>
        <v>Direito econômico. Sociologia da Economia. Sistemas sociais - Teoria. Direito e; Crime</v>
      </c>
      <c r="G329" s="28" t="str">
        <f>IFERROR(__xludf.DUMMYFUNCTION("""COMPUTED_VALUE"""),"9788578796174")</f>
        <v>9788578796174</v>
      </c>
      <c r="H329" s="29" t="str">
        <f>IFERROR(__xludf.DUMMYFUNCTION("""COMPUTED_VALUE"""),"http://eduepb.uepb.edu.br/download/mundos-do-direito-economico-do-mundo/?wpdmdl=1108&amp;#038;masterkey=5f11e709e78ca")</f>
        <v>http://eduepb.uepb.edu.br/download/mundos-do-direito-economico-do-mundo/?wpdmdl=1108&amp;#038;masterkey=5f11e709e78ca</v>
      </c>
      <c r="I329" s="24" t="str">
        <f>IFERROR(__xludf.DUMMYFUNCTION("""COMPUTED_VALUE"""),"Ciências Sociais Aplicadas")</f>
        <v>Ciências Sociais Aplicadas</v>
      </c>
    </row>
    <row r="330">
      <c r="A330" s="24" t="str">
        <f>IFERROR(__xludf.DUMMYFUNCTION("""COMPUTED_VALUE"""),"Mundos dos Direitos humanos do Mundo : O observador, a teoria e o paradoxo")</f>
        <v>Mundos dos Direitos humanos do Mundo : O observador, a teoria e o paradoxo</v>
      </c>
      <c r="B330" s="24" t="str">
        <f>IFERROR(__xludf.DUMMYFUNCTION("""COMPUTED_VALUE"""),"Luciano Nascimento Silva (org.)")</f>
        <v>Luciano Nascimento Silva (org.)</v>
      </c>
      <c r="C330" s="24" t="str">
        <f>IFERROR(__xludf.DUMMYFUNCTION("""COMPUTED_VALUE"""),"Campina Grande")</f>
        <v>Campina Grande</v>
      </c>
      <c r="D330" s="24" t="str">
        <f>IFERROR(__xludf.DUMMYFUNCTION("""COMPUTED_VALUE"""),"EDUEPB")</f>
        <v>EDUEPB</v>
      </c>
      <c r="E330" s="25">
        <f>IFERROR(__xludf.DUMMYFUNCTION("""COMPUTED_VALUE"""),2020.0)</f>
        <v>2020</v>
      </c>
      <c r="F330" s="24" t="str">
        <f>IFERROR(__xludf.DUMMYFUNCTION("""COMPUTED_VALUE"""),"Direito econômico. Sociologia da Economia. Sistemas sociais - Teoria. Direito e Crime")</f>
        <v>Direito econômico. Sociologia da Economia. Sistemas sociais - Teoria. Direito e Crime</v>
      </c>
      <c r="G330" s="28" t="str">
        <f>IFERROR(__xludf.DUMMYFUNCTION("""COMPUTED_VALUE"""),"9788578795702")</f>
        <v>9788578795702</v>
      </c>
      <c r="H330" s="29" t="str">
        <f>IFERROR(__xludf.DUMMYFUNCTION("""COMPUTED_VALUE"""),"http://eduepb.uepb.edu.br/download/mundos-dos-direitos-humanos-do-mundo/?wpdmdl=1111&amp;#038;masterkey=5f12562cceed2")</f>
        <v>http://eduepb.uepb.edu.br/download/mundos-dos-direitos-humanos-do-mundo/?wpdmdl=1111&amp;#038;masterkey=5f12562cceed2</v>
      </c>
      <c r="I330" s="24" t="str">
        <f>IFERROR(__xludf.DUMMYFUNCTION("""COMPUTED_VALUE"""),"Ciências Sociais Aplicadas")</f>
        <v>Ciências Sociais Aplicadas</v>
      </c>
    </row>
    <row r="331">
      <c r="A331" s="24" t="str">
        <f>IFERROR(__xludf.DUMMYFUNCTION("""COMPUTED_VALUE"""),"Narrativas de gênero: relatos de história oral: experiências de ítalo-brasileiros na Itália contemporânea")</f>
        <v>Narrativas de gênero: relatos de história oral: experiências de ítalo-brasileiros na Itália contemporânea</v>
      </c>
      <c r="B331" s="24" t="str">
        <f>IFERROR(__xludf.DUMMYFUNCTION("""COMPUTED_VALUE"""),"Luis Fernando Beneduzi, Gláucia de Oliveira Assis (org.); ")</f>
        <v>Luis Fernando Beneduzi, Gláucia de Oliveira Assis (org.); </v>
      </c>
      <c r="C331" s="24" t="str">
        <f>IFERROR(__xludf.DUMMYFUNCTION("""COMPUTED_VALUE"""),"Vitória")</f>
        <v>Vitória</v>
      </c>
      <c r="D331" s="24" t="str">
        <f>IFERROR(__xludf.DUMMYFUNCTION("""COMPUTED_VALUE"""),"EDUFES")</f>
        <v>EDUFES</v>
      </c>
      <c r="E331" s="25">
        <f>IFERROR(__xludf.DUMMYFUNCTION("""COMPUTED_VALUE"""),2014.0)</f>
        <v>2014</v>
      </c>
      <c r="F331" s="24" t="str">
        <f>IFERROR(__xludf.DUMMYFUNCTION("""COMPUTED_VALUE"""),"Identidade de gênero; História oral; Migração; Italianos; Brasileiros")</f>
        <v>Identidade de gênero; História oral; Migração; Italianos; Brasileiros</v>
      </c>
      <c r="G331" s="28" t="str">
        <f>IFERROR(__xludf.DUMMYFUNCTION("""COMPUTED_VALUE"""),"9788577722112")</f>
        <v>9788577722112</v>
      </c>
      <c r="H331" s="29" t="str">
        <f>IFERROR(__xludf.DUMMYFUNCTION("""COMPUTED_VALUE"""),"http://repositorio.ufes.br/handle/10/1898")</f>
        <v>http://repositorio.ufes.br/handle/10/1898</v>
      </c>
      <c r="I331" s="24" t="str">
        <f>IFERROR(__xludf.DUMMYFUNCTION("""COMPUTED_VALUE"""),"Ciências Sociais Aplicadas")</f>
        <v>Ciências Sociais Aplicadas</v>
      </c>
    </row>
    <row r="332">
      <c r="A332" s="24" t="str">
        <f>IFERROR(__xludf.DUMMYFUNCTION("""COMPUTED_VALUE"""),"Narrativas Poéticas 2017")</f>
        <v>Narrativas Poéticas 2017</v>
      </c>
      <c r="B332" s="24" t="str">
        <f>IFERROR(__xludf.DUMMYFUNCTION("""COMPUTED_VALUE"""),"Regina Oneda Mello")</f>
        <v>Regina Oneda Mello</v>
      </c>
      <c r="C332" s="24" t="str">
        <f>IFERROR(__xludf.DUMMYFUNCTION("""COMPUTED_VALUE"""),"Joaçaba")</f>
        <v>Joaçaba</v>
      </c>
      <c r="D332" s="24" t="str">
        <f>IFERROR(__xludf.DUMMYFUNCTION("""COMPUTED_VALUE"""),"Unoesc")</f>
        <v>Unoesc</v>
      </c>
      <c r="E332" s="25">
        <f>IFERROR(__xludf.DUMMYFUNCTION("""COMPUTED_VALUE"""),2017.0)</f>
        <v>2017</v>
      </c>
      <c r="F332" s="24" t="str">
        <f>IFERROR(__xludf.DUMMYFUNCTION("""COMPUTED_VALUE"""),"Poesia brasileira, Literatura brasileira")</f>
        <v>Poesia brasileira, Literatura brasileira</v>
      </c>
      <c r="G332" s="28" t="str">
        <f>IFERROR(__xludf.DUMMYFUNCTION("""COMPUTED_VALUE"""),"9788584221646")</f>
        <v>9788584221646</v>
      </c>
      <c r="H332" s="29" t="str">
        <f>IFERROR(__xludf.DUMMYFUNCTION("""COMPUTED_VALUE"""),"https://www.unoesc.edu.br/images/uploads/editora/narrativas-poeticas-2017.pdf")</f>
        <v>https://www.unoesc.edu.br/images/uploads/editora/narrativas-poeticas-2017.pdf</v>
      </c>
      <c r="I332" s="24" t="str">
        <f>IFERROR(__xludf.DUMMYFUNCTION("""COMPUTED_VALUE"""),"Ciências Sociais Aplicadas")</f>
        <v>Ciências Sociais Aplicadas</v>
      </c>
    </row>
    <row r="333">
      <c r="A333" s="24" t="str">
        <f>IFERROR(__xludf.DUMMYFUNCTION("""COMPUTED_VALUE"""),"Nativos digitais: como a geração Z reflete a comunicação contemporânea")</f>
        <v>Nativos digitais: como a geração Z reflete a comunicação contemporânea</v>
      </c>
      <c r="B333" s="24" t="str">
        <f>IFERROR(__xludf.DUMMYFUNCTION("""COMPUTED_VALUE"""),"Elisângela Lima de Andrade, Jacks de Mello Andrade Junior, Karollinne Levy Pontes de Aguiar, Luciana; Macedo, Paulo Victor Giraldi Pires, Patrícia Teixeira e Roberta Scheibe (org.)")</f>
        <v>Elisângela Lima de Andrade, Jacks de Mello Andrade Junior, Karollinne Levy Pontes de Aguiar, Luciana; Macedo, Paulo Victor Giraldi Pires, Patrícia Teixeira e Roberta Scheibe (org.)</v>
      </c>
      <c r="C333" s="24" t="str">
        <f>IFERROR(__xludf.DUMMYFUNCTION("""COMPUTED_VALUE"""),"Macapá")</f>
        <v>Macapá</v>
      </c>
      <c r="D333" s="24" t="str">
        <f>IFERROR(__xludf.DUMMYFUNCTION("""COMPUTED_VALUE"""),"UNIFAP")</f>
        <v>UNIFAP</v>
      </c>
      <c r="E333" s="25">
        <f>IFERROR(__xludf.DUMMYFUNCTION("""COMPUTED_VALUE"""),2019.0)</f>
        <v>2019</v>
      </c>
      <c r="F333" s="24" t="str">
        <f>IFERROR(__xludf.DUMMYFUNCTION("""COMPUTED_VALUE"""),"Comunicação; Jornalismo; Mídias")</f>
        <v>Comunicação; Jornalismo; Mídias</v>
      </c>
      <c r="G333" s="28" t="str">
        <f>IFERROR(__xludf.DUMMYFUNCTION("""COMPUTED_VALUE"""),"9788554760717")</f>
        <v>9788554760717</v>
      </c>
      <c r="H333" s="29" t="str">
        <f>IFERROR(__xludf.DUMMYFUNCTION("""COMPUTED_VALUE"""),"https://www2.unifap.br/editora/files/2019/06/nativos-digitais.pdf")</f>
        <v>https://www2.unifap.br/editora/files/2019/06/nativos-digitais.pdf</v>
      </c>
      <c r="I333" s="24" t="str">
        <f>IFERROR(__xludf.DUMMYFUNCTION("""COMPUTED_VALUE"""),"Ciências Sociais Aplicadas")</f>
        <v>Ciências Sociais Aplicadas</v>
      </c>
    </row>
    <row r="334">
      <c r="A334" s="24" t="str">
        <f>IFERROR(__xludf.DUMMYFUNCTION("""COMPUTED_VALUE"""),"No coração do meio do mundo: múltiplas redes periféricas em identidades, paisagens, migração e comunicação")</f>
        <v>No coração do meio do mundo: múltiplas redes periféricas em identidades, paisagens, migração e comunicação</v>
      </c>
      <c r="B334" s="24" t="str">
        <f>IFERROR(__xludf.DUMMYFUNCTION("""COMPUTED_VALUE"""),"Isabel Regina Augusto &amp; Roberta Scheibe (org.) ")</f>
        <v>Isabel Regina Augusto &amp; Roberta Scheibe (org.) </v>
      </c>
      <c r="C334" s="24" t="str">
        <f>IFERROR(__xludf.DUMMYFUNCTION("""COMPUTED_VALUE"""),"Macapá")</f>
        <v>Macapá</v>
      </c>
      <c r="D334" s="24" t="str">
        <f>IFERROR(__xludf.DUMMYFUNCTION("""COMPUTED_VALUE"""),"UNIFAP")</f>
        <v>UNIFAP</v>
      </c>
      <c r="E334" s="25">
        <f>IFERROR(__xludf.DUMMYFUNCTION("""COMPUTED_VALUE"""),2018.0)</f>
        <v>2018</v>
      </c>
      <c r="F334" s="24" t="str">
        <f>IFERROR(__xludf.DUMMYFUNCTION("""COMPUTED_VALUE"""),"Redes Periféricas; Identidade; Paisagem; Migração; Comunicação")</f>
        <v>Redes Periféricas; Identidade; Paisagem; Migração; Comunicação</v>
      </c>
      <c r="G334" s="28" t="str">
        <f>IFERROR(__xludf.DUMMYFUNCTION("""COMPUTED_VALUE"""),"9788554760243")</f>
        <v>9788554760243</v>
      </c>
      <c r="H334" s="29" t="str">
        <f>IFERROR(__xludf.DUMMYFUNCTION("""COMPUTED_VALUE"""),"https://www2.unifap.br/editora/files/2018/12/No-cora%c3%a7%c3%a3o-do-meio-do-mundo.pdf")</f>
        <v>https://www2.unifap.br/editora/files/2018/12/No-cora%c3%a7%c3%a3o-do-meio-do-mundo.pdf</v>
      </c>
      <c r="I334" s="24" t="str">
        <f>IFERROR(__xludf.DUMMYFUNCTION("""COMPUTED_VALUE"""),"Ciências Sociais Aplicadas")</f>
        <v>Ciências Sociais Aplicadas</v>
      </c>
    </row>
    <row r="335">
      <c r="A335" s="24" t="str">
        <f>IFERROR(__xludf.DUMMYFUNCTION("""COMPUTED_VALUE"""),"No próximo bloco... O jornalismo brasileiro na TV e na internet")</f>
        <v>No próximo bloco... O jornalismo brasileiro na TV e na internet</v>
      </c>
      <c r="B335" s="24" t="str">
        <f>IFERROR(__xludf.DUMMYFUNCTION("""COMPUTED_VALUE"""),"Organização; Ernesto Rodrigues")</f>
        <v>Organização; Ernesto Rodrigues</v>
      </c>
      <c r="C335" s="24" t="str">
        <f>IFERROR(__xludf.DUMMYFUNCTION("""COMPUTED_VALUE"""),"Rio de Janeiro")</f>
        <v>Rio de Janeiro</v>
      </c>
      <c r="D335" s="24" t="str">
        <f>IFERROR(__xludf.DUMMYFUNCTION("""COMPUTED_VALUE"""),"Editora PUC Rio")</f>
        <v>Editora PUC Rio</v>
      </c>
      <c r="E335" s="25">
        <f>IFERROR(__xludf.DUMMYFUNCTION("""COMPUTED_VALUE"""),2005.0)</f>
        <v>2005</v>
      </c>
      <c r="F335" s="24" t="str">
        <f>IFERROR(__xludf.DUMMYFUNCTION("""COMPUTED_VALUE"""),"Jornalismo - Brasil. Telejornalismo - Brasil.; Jornalismo online - Brasil")</f>
        <v>Jornalismo - Brasil. Telejornalismo - Brasil.; Jornalismo online - Brasil</v>
      </c>
      <c r="G335" s="28" t="str">
        <f>IFERROR(__xludf.DUMMYFUNCTION("""COMPUTED_VALUE"""),"8515031809")</f>
        <v>8515031809</v>
      </c>
      <c r="H335" s="29" t="str">
        <f>IFERROR(__xludf.DUMMYFUNCTION("""COMPUTED_VALUE"""),"http://www.editora.puc-rio.br/media/ebook_no_proximo_bloco.pdf")</f>
        <v>http://www.editora.puc-rio.br/media/ebook_no_proximo_bloco.pdf</v>
      </c>
      <c r="I335" s="24" t="str">
        <f>IFERROR(__xludf.DUMMYFUNCTION("""COMPUTED_VALUE"""),"Ciências Sociais Aplicadas")</f>
        <v>Ciências Sociais Aplicadas</v>
      </c>
    </row>
    <row r="336">
      <c r="A336" s="24" t="str">
        <f>IFERROR(__xludf.DUMMYFUNCTION("""COMPUTED_VALUE"""),"Nordeste 2010: os Sentidos do Voto II")</f>
        <v>Nordeste 2010: os Sentidos do Voto II</v>
      </c>
      <c r="B336" s="24" t="str">
        <f>IFERROR(__xludf.DUMMYFUNCTION("""COMPUTED_VALUE"""),"Hugo Cortez e José Antonio os estados do Nordeste | Hugo Cortez e José Antonio Spinelli (org.)")</f>
        <v>Hugo Cortez e José Antonio os estados do Nordeste | Hugo Cortez e José Antonio Spinelli (org.)</v>
      </c>
      <c r="C336" s="24" t="str">
        <f>IFERROR(__xludf.DUMMYFUNCTION("""COMPUTED_VALUE"""),"Recife")</f>
        <v>Recife</v>
      </c>
      <c r="D336" s="24" t="str">
        <f>IFERROR(__xludf.DUMMYFUNCTION("""COMPUTED_VALUE"""),"Fundação Joaquim Nabuco / Editora Massangana")</f>
        <v>Fundação Joaquim Nabuco / Editora Massangana</v>
      </c>
      <c r="E336" s="25">
        <f>IFERROR(__xludf.DUMMYFUNCTION("""COMPUTED_VALUE"""),2016.0)</f>
        <v>2016</v>
      </c>
      <c r="F336" s="24" t="str">
        <f>IFERROR(__xludf.DUMMYFUNCTION("""COMPUTED_VALUE"""),"Política; Eleições; Nordeste")</f>
        <v>Política; Eleições; Nordeste</v>
      </c>
      <c r="G336" s="28" t="str">
        <f>IFERROR(__xludf.DUMMYFUNCTION("""COMPUTED_VALUE"""),"9788570196613")</f>
        <v>9788570196613</v>
      </c>
      <c r="H336" s="29" t="str">
        <f>IFERROR(__xludf.DUMMYFUNCTION("""COMPUTED_VALUE"""),"https://www.fundaj.gov.br/images/stories/editora/livros/livro_nordeste_2010_os_sentidos_do_voto.pdf")</f>
        <v>https://www.fundaj.gov.br/images/stories/editora/livros/livro_nordeste_2010_os_sentidos_do_voto.pdf</v>
      </c>
      <c r="I336" s="24" t="str">
        <f>IFERROR(__xludf.DUMMYFUNCTION("""COMPUTED_VALUE"""),"Ciências Sociais Aplicadas")</f>
        <v>Ciências Sociais Aplicadas</v>
      </c>
    </row>
    <row r="337">
      <c r="A337" s="24" t="str">
        <f>IFERROR(__xludf.DUMMYFUNCTION("""COMPUTED_VALUE"""),"Normas da ABNT: orientações para a produção científica")</f>
        <v>Normas da ABNT: orientações para a produção científica</v>
      </c>
      <c r="B337" s="24" t="str">
        <f>IFERROR(__xludf.DUMMYFUNCTION("""COMPUTED_VALUE"""),"Ardinete Rover, Regina Oneda Mello")</f>
        <v>Ardinete Rover, Regina Oneda Mello</v>
      </c>
      <c r="C337" s="24" t="str">
        <f>IFERROR(__xludf.DUMMYFUNCTION("""COMPUTED_VALUE"""),"Joaçaba")</f>
        <v>Joaçaba</v>
      </c>
      <c r="D337" s="24" t="str">
        <f>IFERROR(__xludf.DUMMYFUNCTION("""COMPUTED_VALUE"""),"Unoesc")</f>
        <v>Unoesc</v>
      </c>
      <c r="E337" s="25">
        <f>IFERROR(__xludf.DUMMYFUNCTION("""COMPUTED_VALUE"""),2020.0)</f>
        <v>2020</v>
      </c>
      <c r="F337" s="24" t="str">
        <f>IFERROR(__xludf.DUMMYFUNCTION("""COMPUTED_VALUE"""),"Ciência - Metodologia, Trabalhos científico")</f>
        <v>Ciência - Metodologia, Trabalhos científico</v>
      </c>
      <c r="G337" s="28" t="str">
        <f>IFERROR(__xludf.DUMMYFUNCTION("""COMPUTED_VALUE"""),"9788584222315")</f>
        <v>9788584222315</v>
      </c>
      <c r="H337" s="29" t="str">
        <f>IFERROR(__xludf.DUMMYFUNCTION("""COMPUTED_VALUE"""),"https://www.unoesc.edu.br/images/uploads/editora/Normas_da_ABNT_-_Miolo_-_2020.pdf")</f>
        <v>https://www.unoesc.edu.br/images/uploads/editora/Normas_da_ABNT_-_Miolo_-_2020.pdf</v>
      </c>
      <c r="I337" s="24" t="str">
        <f>IFERROR(__xludf.DUMMYFUNCTION("""COMPUTED_VALUE"""),"Ciências Sociais Aplicadas")</f>
        <v>Ciências Sociais Aplicadas</v>
      </c>
    </row>
    <row r="338">
      <c r="A338" s="24" t="str">
        <f>IFERROR(__xludf.DUMMYFUNCTION("""COMPUTED_VALUE"""),"Normas técnicas para elaboração de trabalhos acadêmicos")</f>
        <v>Normas técnicas para elaboração de trabalhos acadêmicos</v>
      </c>
      <c r="B338" s="24" t="str">
        <f>IFERROR(__xludf.DUMMYFUNCTION("""COMPUTED_VALUE"""),"Organizadoras Maria Aparecida Leão Bittencourt, Maria José Serrão Nunes, Angye Cássia Noia ")</f>
        <v>Organizadoras Maria Aparecida Leão Bittencourt, Maria José Serrão Nunes, Angye Cássia Noia </v>
      </c>
      <c r="C338" s="24" t="str">
        <f>IFERROR(__xludf.DUMMYFUNCTION("""COMPUTED_VALUE"""),"Ilhéus, BA")</f>
        <v>Ilhéus, BA</v>
      </c>
      <c r="D338" s="24" t="str">
        <f>IFERROR(__xludf.DUMMYFUNCTION("""COMPUTED_VALUE"""),"Editus")</f>
        <v>Editus</v>
      </c>
      <c r="E338" s="25">
        <f>IFERROR(__xludf.DUMMYFUNCTION("""COMPUTED_VALUE"""),2016.0)</f>
        <v>2016</v>
      </c>
      <c r="F338" s="24" t="str">
        <f>IFERROR(__xludf.DUMMYFUNCTION("""COMPUTED_VALUE"""),"Documentação – Normalização; Redação técnica")</f>
        <v>Documentação – Normalização; Redação técnica</v>
      </c>
      <c r="G338" s="28" t="str">
        <f>IFERROR(__xludf.DUMMYFUNCTION("""COMPUTED_VALUE"""),"9788574554259")</f>
        <v>9788574554259</v>
      </c>
      <c r="H338" s="29" t="str">
        <f>IFERROR(__xludf.DUMMYFUNCTION("""COMPUTED_VALUE"""),"http://www.uesc.br/editora/livrosdigitais2016/normas_tecnicas_2ed.pdf")</f>
        <v>http://www.uesc.br/editora/livrosdigitais2016/normas_tecnicas_2ed.pdf</v>
      </c>
      <c r="I338" s="24" t="str">
        <f>IFERROR(__xludf.DUMMYFUNCTION("""COMPUTED_VALUE"""),"Ciências Sociais Aplicadas")</f>
        <v>Ciências Sociais Aplicadas</v>
      </c>
    </row>
    <row r="339">
      <c r="A339" s="24" t="str">
        <f>IFERROR(__xludf.DUMMYFUNCTION("""COMPUTED_VALUE"""),"O Brasil em construção: teoria, história e economia na obra de Pedro Cezar Dutra Fonseca")</f>
        <v>O Brasil em construção: teoria, história e economia na obra de Pedro Cezar Dutra Fonseca</v>
      </c>
      <c r="B339" s="24" t="str">
        <f>IFERROR(__xludf.DUMMYFUNCTION("""COMPUTED_VALUE"""),"Salomão, Ivan Colangelo ")</f>
        <v>Salomão, Ivan Colangelo </v>
      </c>
      <c r="C339" s="24" t="str">
        <f>IFERROR(__xludf.DUMMYFUNCTION("""COMPUTED_VALUE"""),"Porto Alegre")</f>
        <v>Porto Alegre</v>
      </c>
      <c r="D339" s="24" t="str">
        <f>IFERROR(__xludf.DUMMYFUNCTION("""COMPUTED_VALUE"""),"UFRGS")</f>
        <v>UFRGS</v>
      </c>
      <c r="E339" s="25">
        <f>IFERROR(__xludf.DUMMYFUNCTION("""COMPUTED_VALUE"""),2017.0)</f>
        <v>2017</v>
      </c>
      <c r="F339" s="24" t="str">
        <f>IFERROR(__xludf.DUMMYFUNCTION("""COMPUTED_VALUE"""),"Brasil; Desenvolvimento econômico; Economistas; Fonseca, Pedro Cezar Dutra; História econômica; Política econômica; Teoria econômica")</f>
        <v>Brasil; Desenvolvimento econômico; Economistas; Fonseca, Pedro Cezar Dutra; História econômica; Política econômica; Teoria econômica</v>
      </c>
      <c r="G339" s="28" t="str">
        <f>IFERROR(__xludf.DUMMYFUNCTION("""COMPUTED_VALUE"""),"9788538604860")</f>
        <v>9788538604860</v>
      </c>
      <c r="H339" s="29" t="str">
        <f>IFERROR(__xludf.DUMMYFUNCTION("""COMPUTED_VALUE"""),"http://hdl.handle.net/10183/198714")</f>
        <v>http://hdl.handle.net/10183/198714</v>
      </c>
      <c r="I339" s="24" t="str">
        <f>IFERROR(__xludf.DUMMYFUNCTION("""COMPUTED_VALUE"""),"Ciências Sociais Aplicadas")</f>
        <v>Ciências Sociais Aplicadas</v>
      </c>
    </row>
    <row r="340">
      <c r="A340" s="24" t="str">
        <f>IFERROR(__xludf.DUMMYFUNCTION("""COMPUTED_VALUE"""),"O cajado de mentor: mídia, eleições e coronelismo eletrônico no Brasil. ")</f>
        <v>O cajado de mentor: mídia, eleições e coronelismo eletrônico no Brasil. </v>
      </c>
      <c r="B340" s="24" t="str">
        <f>IFERROR(__xludf.DUMMYFUNCTION("""COMPUTED_VALUE"""),"Maria de Lourdes dos Santos, Reinaldo dos Santos")</f>
        <v>Maria de Lourdes dos Santos, Reinaldo dos Santos</v>
      </c>
      <c r="C340" s="24" t="str">
        <f>IFERROR(__xludf.DUMMYFUNCTION("""COMPUTED_VALUE"""),"Dourados, MS")</f>
        <v>Dourados, MS</v>
      </c>
      <c r="D340" s="24" t="str">
        <f>IFERROR(__xludf.DUMMYFUNCTION("""COMPUTED_VALUE"""),"Ed. da UFGD")</f>
        <v>Ed. da UFGD</v>
      </c>
      <c r="E340" s="25">
        <f>IFERROR(__xludf.DUMMYFUNCTION("""COMPUTED_VALUE"""),2017.0)</f>
        <v>2017</v>
      </c>
      <c r="F340" s="24" t="str">
        <f>IFERROR(__xludf.DUMMYFUNCTION("""COMPUTED_VALUE"""),"Política; Democracia; Mídia; Eleições; Televisão")</f>
        <v>Política; Democracia; Mídia; Eleições; Televisão</v>
      </c>
      <c r="G340" s="28" t="str">
        <f>IFERROR(__xludf.DUMMYFUNCTION("""COMPUTED_VALUE"""),"9788581471389")</f>
        <v>9788581471389</v>
      </c>
      <c r="H340" s="29" t="str">
        <f>IFERROR(__xludf.DUMMYFUNCTION("""COMPUTED_VALUE"""),"http://omp.ufgd.edu.br/omp/index.php/livrosabertos/catalog/view/152/193/474-1")</f>
        <v>http://omp.ufgd.edu.br/omp/index.php/livrosabertos/catalog/view/152/193/474-1</v>
      </c>
      <c r="I340" s="24" t="str">
        <f>IFERROR(__xludf.DUMMYFUNCTION("""COMPUTED_VALUE"""),"Ciências Sociais Aplicadas")</f>
        <v>Ciências Sociais Aplicadas</v>
      </c>
    </row>
    <row r="341">
      <c r="A341" s="24" t="str">
        <f>IFERROR(__xludf.DUMMYFUNCTION("""COMPUTED_VALUE"""),"O Congresso contra a soberania popular. A inconstitucionalidade de impeachment sem crime de responsabilidade")</f>
        <v>O Congresso contra a soberania popular. A inconstitucionalidade de impeachment sem crime de responsabilidade</v>
      </c>
      <c r="B341" s="24" t="str">
        <f>IFERROR(__xludf.DUMMYFUNCTION("""COMPUTED_VALUE"""),"Carlos Valder do Nascimento")</f>
        <v>Carlos Valder do Nascimento</v>
      </c>
      <c r="C341" s="24" t="str">
        <f>IFERROR(__xludf.DUMMYFUNCTION("""COMPUTED_VALUE"""),"Ilhéus, BA")</f>
        <v>Ilhéus, BA</v>
      </c>
      <c r="D341" s="24" t="str">
        <f>IFERROR(__xludf.DUMMYFUNCTION("""COMPUTED_VALUE"""),"Editus")</f>
        <v>Editus</v>
      </c>
      <c r="E341" s="25">
        <f>IFERROR(__xludf.DUMMYFUNCTION("""COMPUTED_VALUE"""),2018.0)</f>
        <v>2018</v>
      </c>
      <c r="F341" s="24" t="str">
        <f>IFERROR(__xludf.DUMMYFUNCTION("""COMPUTED_VALUE"""),"Direito tributário – Brasil; Impedimentos – Brasil; Responsabilidade; (Direito); Crime fi scal")</f>
        <v>Direito tributário – Brasil; Impedimentos – Brasil; Responsabilidade; (Direito); Crime fi scal</v>
      </c>
      <c r="G341" s="28" t="str">
        <f>IFERROR(__xludf.DUMMYFUNCTION("""COMPUTED_VALUE"""),"9788574554754")</f>
        <v>9788574554754</v>
      </c>
      <c r="H341" s="29" t="str">
        <f>IFERROR(__xludf.DUMMYFUNCTION("""COMPUTED_VALUE"""),"http://www.uesc.br/editora/livrosdigitais2019/direito_xi.pdf")</f>
        <v>http://www.uesc.br/editora/livrosdigitais2019/direito_xi.pdf</v>
      </c>
      <c r="I341" s="24" t="str">
        <f>IFERROR(__xludf.DUMMYFUNCTION("""COMPUTED_VALUE"""),"Ciências Sociais Aplicadas")</f>
        <v>Ciências Sociais Aplicadas</v>
      </c>
    </row>
    <row r="342">
      <c r="A342" s="24" t="str">
        <f>IFERROR(__xludf.DUMMYFUNCTION("""COMPUTED_VALUE"""),"O Consumo no Contexto da Família, da Infância e da Adolescência")</f>
        <v>O Consumo no Contexto da Família, da Infância e da Adolescência</v>
      </c>
      <c r="B342" s="24" t="str">
        <f>IFERROR(__xludf.DUMMYFUNCTION("""COMPUTED_VALUE"""),"Maria Zênia Tavares da Silva, Joseana Maria Saraiva e Daisyvângela E. da S. Lima Santana")</f>
        <v>Maria Zênia Tavares da Silva, Joseana Maria Saraiva e Daisyvângela E. da S. Lima Santana</v>
      </c>
      <c r="C342" s="24" t="str">
        <f>IFERROR(__xludf.DUMMYFUNCTION("""COMPUTED_VALUE"""),"Recife")</f>
        <v>Recife</v>
      </c>
      <c r="D342" s="24" t="str">
        <f>IFERROR(__xludf.DUMMYFUNCTION("""COMPUTED_VALUE"""),"Editora Universitária da UFRPE")</f>
        <v>Editora Universitária da UFRPE</v>
      </c>
      <c r="E342" s="25">
        <f>IFERROR(__xludf.DUMMYFUNCTION("""COMPUTED_VALUE"""),2016.0)</f>
        <v>2016</v>
      </c>
      <c r="F342" s="24" t="str">
        <f>IFERROR(__xludf.DUMMYFUNCTION("""COMPUTED_VALUE"""),"Consumo; Família; Infância e juventude; Economia")</f>
        <v>Consumo; Família; Infância e juventude; Economia</v>
      </c>
      <c r="G342" s="28" t="str">
        <f>IFERROR(__xludf.DUMMYFUNCTION("""COMPUTED_VALUE"""),"9788579462641")</f>
        <v>9788579462641</v>
      </c>
      <c r="H342" s="29" t="str">
        <f>IFERROR(__xludf.DUMMYFUNCTION("""COMPUTED_VALUE"""),"https://www.dropbox.com/s/e7kafko64p7bju7/Livro_Consumo_web.pdf?dl=0")</f>
        <v>https://www.dropbox.com/s/e7kafko64p7bju7/Livro_Consumo_web.pdf?dl=0</v>
      </c>
      <c r="I342" s="24" t="str">
        <f>IFERROR(__xludf.DUMMYFUNCTION("""COMPUTED_VALUE"""),"Ciências Sociais Aplicadas")</f>
        <v>Ciências Sociais Aplicadas</v>
      </c>
    </row>
    <row r="343">
      <c r="A343" s="24" t="str">
        <f>IFERROR(__xludf.DUMMYFUNCTION("""COMPUTED_VALUE"""),"O Curso de Serviço Social da UEPB")</f>
        <v>O Curso de Serviço Social da UEPB</v>
      </c>
      <c r="B343" s="24" t="str">
        <f>IFERROR(__xludf.DUMMYFUNCTION("""COMPUTED_VALUE"""),"Adriana Freire Pereira Férriz; Lúcia Maria Patriota; Sandra Amélia Sampaio Silveira (org.)")</f>
        <v>Adriana Freire Pereira Férriz; Lúcia Maria Patriota; Sandra Amélia Sampaio Silveira (org.)</v>
      </c>
      <c r="C343" s="24" t="str">
        <f>IFERROR(__xludf.DUMMYFUNCTION("""COMPUTED_VALUE"""),"Campina Grande")</f>
        <v>Campina Grande</v>
      </c>
      <c r="D343" s="24" t="str">
        <f>IFERROR(__xludf.DUMMYFUNCTION("""COMPUTED_VALUE"""),"EDUEPB")</f>
        <v>EDUEPB</v>
      </c>
      <c r="E343" s="25">
        <f>IFERROR(__xludf.DUMMYFUNCTION("""COMPUTED_VALUE"""),2014.0)</f>
        <v>2014</v>
      </c>
      <c r="F343" s="24" t="str">
        <f>IFERROR(__xludf.DUMMYFUNCTION("""COMPUTED_VALUE"""),"Serviço social no Brasil. Formação acadêmica. UEPB")</f>
        <v>Serviço social no Brasil. Formação acadêmica. UEPB</v>
      </c>
      <c r="G343" s="28" t="str">
        <f>IFERROR(__xludf.DUMMYFUNCTION("""COMPUTED_VALUE"""),"9788578792244")</f>
        <v>9788578792244</v>
      </c>
      <c r="H343" s="29" t="str">
        <f>IFERROR(__xludf.DUMMYFUNCTION("""COMPUTED_VALUE"""),"http://eduepb.uepb.edu.br/download/o-curso-de-servic%cc%a7o-social-da-uepb/?wpdmdl=200&amp;amp;masterkey=5af99d1990c4c")</f>
        <v>http://eduepb.uepb.edu.br/download/o-curso-de-servic%cc%a7o-social-da-uepb/?wpdmdl=200&amp;amp;masterkey=5af99d1990c4c</v>
      </c>
      <c r="I343" s="24" t="str">
        <f>IFERROR(__xludf.DUMMYFUNCTION("""COMPUTED_VALUE"""),"Ciências Sociais Aplicadas")</f>
        <v>Ciências Sociais Aplicadas</v>
      </c>
    </row>
    <row r="344">
      <c r="A344" s="24" t="str">
        <f>IFERROR(__xludf.DUMMYFUNCTION("""COMPUTED_VALUE"""),"O custo de implantação da infraestrutura urbana: suporte para os gestores públicos")</f>
        <v>O custo de implantação da infraestrutura urbana: suporte para os gestores públicos</v>
      </c>
      <c r="B344" s="24" t="str">
        <f>IFERROR(__xludf.DUMMYFUNCTION("""COMPUTED_VALUE"""),"Anderson Saccol Ferreira")</f>
        <v>Anderson Saccol Ferreira</v>
      </c>
      <c r="C344" s="24" t="str">
        <f>IFERROR(__xludf.DUMMYFUNCTION("""COMPUTED_VALUE"""),"Joaçaba")</f>
        <v>Joaçaba</v>
      </c>
      <c r="D344" s="24" t="str">
        <f>IFERROR(__xludf.DUMMYFUNCTION("""COMPUTED_VALUE"""),"Unoesc")</f>
        <v>Unoesc</v>
      </c>
      <c r="E344" s="25">
        <f>IFERROR(__xludf.DUMMYFUNCTION("""COMPUTED_VALUE"""),2019.0)</f>
        <v>2019</v>
      </c>
      <c r="F344" s="24" t="str">
        <f>IFERROR(__xludf.DUMMYFUNCTION("""COMPUTED_VALUE"""),"Planejamento urbano, Política urbana, Desenvolvimento sustentável")</f>
        <v>Planejamento urbano, Política urbana, Desenvolvimento sustentável</v>
      </c>
      <c r="G344" s="28" t="str">
        <f>IFERROR(__xludf.DUMMYFUNCTION("""COMPUTED_VALUE"""),"9788584222148")</f>
        <v>9788584222148</v>
      </c>
      <c r="H344" s="29" t="str">
        <f>IFERROR(__xludf.DUMMYFUNCTION("""COMPUTED_VALUE"""),"https://www.unoesc.edu.br/images/uploads/editora/Miolo_O_Custo_de_Implantação.pdf")</f>
        <v>https://www.unoesc.edu.br/images/uploads/editora/Miolo_O_Custo_de_Implantação.pdf</v>
      </c>
      <c r="I344" s="24" t="str">
        <f>IFERROR(__xludf.DUMMYFUNCTION("""COMPUTED_VALUE"""),"Ciências Sociais Aplicadas")</f>
        <v>Ciências Sociais Aplicadas</v>
      </c>
    </row>
    <row r="345">
      <c r="A345" s="24" t="str">
        <f>IFERROR(__xludf.DUMMYFUNCTION("""COMPUTED_VALUE"""),"O desenvolvimento dos Vales da Uva Goethe – SC: contribuições da extensão universitária")</f>
        <v>O desenvolvimento dos Vales da Uva Goethe – SC: contribuições da extensão universitária</v>
      </c>
      <c r="B345" s="24" t="str">
        <f>IFERROR(__xludf.DUMMYFUNCTION("""COMPUTED_VALUE"""),"Zilli, Júlio Cesar; Pieri, Ricardo; Vieira, Adriana Carvalho Pinto; Schneider, Michele Domingos; Madeira, Volmar")</f>
        <v>Zilli, Júlio Cesar; Pieri, Ricardo; Vieira, Adriana Carvalho Pinto; Schneider, Michele Domingos; Madeira, Volmar</v>
      </c>
      <c r="C345" s="24" t="str">
        <f>IFERROR(__xludf.DUMMYFUNCTION("""COMPUTED_VALUE"""),"Criciúma")</f>
        <v>Criciúma</v>
      </c>
      <c r="D345" s="24" t="str">
        <f>IFERROR(__xludf.DUMMYFUNCTION("""COMPUTED_VALUE"""),"UNESC")</f>
        <v>UNESC</v>
      </c>
      <c r="E345" s="25">
        <f>IFERROR(__xludf.DUMMYFUNCTION("""COMPUTED_VALUE"""),2019.0)</f>
        <v>2019</v>
      </c>
      <c r="F345" s="24" t="str">
        <f>IFERROR(__xludf.DUMMYFUNCTION("""COMPUTED_VALUE"""),"Vales da Uva Goethe – Santa Catarina (SC); Indicação geográfica; Planejamento regional; Vinícolas – Aspectos econômicos; Empresas familiares; Empreendedorismo; Plano de negócios; Extensão universitária")</f>
        <v>Vales da Uva Goethe – Santa Catarina (SC); Indicação geográfica; Planejamento regional; Vinícolas – Aspectos econômicos; Empresas familiares; Empreendedorismo; Plano de negócios; Extensão universitária</v>
      </c>
      <c r="G345" s="28" t="str">
        <f>IFERROR(__xludf.DUMMYFUNCTION("""COMPUTED_VALUE"""),"9788584101047")</f>
        <v>9788584101047</v>
      </c>
      <c r="H345" s="29" t="str">
        <f>IFERROR(__xludf.DUMMYFUNCTION("""COMPUTED_VALUE"""),"https://doi.org/10.18616/Goethe")</f>
        <v>https://doi.org/10.18616/Goethe</v>
      </c>
      <c r="I345" s="24" t="str">
        <f>IFERROR(__xludf.DUMMYFUNCTION("""COMPUTED_VALUE"""),"Ciências Sociais Aplicadas")</f>
        <v>Ciências Sociais Aplicadas</v>
      </c>
    </row>
    <row r="346">
      <c r="A346" s="24" t="str">
        <f>IFERROR(__xludf.DUMMYFUNCTION("""COMPUTED_VALUE"""),"O desenvolvimento que queremos: Bolsa Família como aprendizado para uma nova agenda")</f>
        <v>O desenvolvimento que queremos: Bolsa Família como aprendizado para uma nova agenda</v>
      </c>
      <c r="B346" s="24" t="str">
        <f>IFERROR(__xludf.DUMMYFUNCTION("""COMPUTED_VALUE"""),"Isabel Rocha de Siqueira; Paulo Esteves; (orgs.)")</f>
        <v>Isabel Rocha de Siqueira; Paulo Esteves; (orgs.)</v>
      </c>
      <c r="C346" s="24" t="str">
        <f>IFERROR(__xludf.DUMMYFUNCTION("""COMPUTED_VALUE"""),"Rio de Janeiro")</f>
        <v>Rio de Janeiro</v>
      </c>
      <c r="D346" s="24" t="str">
        <f>IFERROR(__xludf.DUMMYFUNCTION("""COMPUTED_VALUE"""),"Editora PUC Rio")</f>
        <v>Editora PUC Rio</v>
      </c>
      <c r="E346" s="25">
        <f>IFERROR(__xludf.DUMMYFUNCTION("""COMPUTED_VALUE"""),2018.0)</f>
        <v>2018</v>
      </c>
      <c r="F346" s="24" t="str">
        <f>IFERROR(__xludf.DUMMYFUNCTION("""COMPUTED_VALUE"""),"Brasil – Política social. Programa Bolsa Família (Brasil). Desenvolvimento; econômico – Brasil. Política de desenvolvimento social")</f>
        <v>Brasil – Política social. Programa Bolsa Família (Brasil). Desenvolvimento; econômico – Brasil. Política de desenvolvimento social</v>
      </c>
      <c r="G346" s="28" t="str">
        <f>IFERROR(__xludf.DUMMYFUNCTION("""COMPUTED_VALUE"""),"9788580062373")</f>
        <v>9788580062373</v>
      </c>
      <c r="H346" s="29" t="str">
        <f>IFERROR(__xludf.DUMMYFUNCTION("""COMPUTED_VALUE"""),"http://www.editora.puc-rio.br/media/miolo%20desenvolvimento%20que%20queremos.pdf")</f>
        <v>http://www.editora.puc-rio.br/media/miolo%20desenvolvimento%20que%20queremos.pdf</v>
      </c>
      <c r="I346" s="24" t="str">
        <f>IFERROR(__xludf.DUMMYFUNCTION("""COMPUTED_VALUE"""),"Ciências Sociais Aplicadas")</f>
        <v>Ciências Sociais Aplicadas</v>
      </c>
    </row>
    <row r="347">
      <c r="A347" s="24" t="str">
        <f>IFERROR(__xludf.DUMMYFUNCTION("""COMPUTED_VALUE"""),"O direito à água como política pública na América Latina")</f>
        <v>O direito à água como política pública na América Latina</v>
      </c>
      <c r="B347" s="24" t="str">
        <f>IFERROR(__xludf.DUMMYFUNCTION("""COMPUTED_VALUE"""),"José Esteban Castro; Léo Heller; Maria da Piedade Morais (ed.)")</f>
        <v>José Esteban Castro; Léo Heller; Maria da Piedade Morais (ed.)</v>
      </c>
      <c r="C347" s="24" t="str">
        <f>IFERROR(__xludf.DUMMYFUNCTION("""COMPUTED_VALUE"""),"Campina Grande")</f>
        <v>Campina Grande</v>
      </c>
      <c r="D347" s="24" t="str">
        <f>IFERROR(__xludf.DUMMYFUNCTION("""COMPUTED_VALUE"""),"EDUEPB")</f>
        <v>EDUEPB</v>
      </c>
      <c r="E347" s="25">
        <f>IFERROR(__xludf.DUMMYFUNCTION("""COMPUTED_VALUE"""),2015.0)</f>
        <v>2015</v>
      </c>
      <c r="F347" s="24" t="str">
        <f>IFERROR(__xludf.DUMMYFUNCTION("""COMPUTED_VALUE"""),"Direitos sobre as águas. Abastecimento de água. Escassez de água. Conservação da água. Serviços de saneamento. Programas governamentais. Políticas públicas. América Latina")</f>
        <v>Direitos sobre as águas. Abastecimento de água. Escassez de água. Conservação da água. Serviços de saneamento. Programas governamentais. Políticas públicas. América Latina</v>
      </c>
      <c r="G347" s="28" t="str">
        <f>IFERROR(__xludf.DUMMYFUNCTION("""COMPUTED_VALUE"""),"9788578112387")</f>
        <v>9788578112387</v>
      </c>
      <c r="H347" s="29" t="str">
        <f>IFERROR(__xludf.DUMMYFUNCTION("""COMPUTED_VALUE"""),"http://eduepb.uepb.edu.br/download/o-direito-a-agua-como-politica-publica-na-america-latina/?wpdmdl=203&amp;amp;masterkey=5af99d620d123")</f>
        <v>http://eduepb.uepb.edu.br/download/o-direito-a-agua-como-politica-publica-na-america-latina/?wpdmdl=203&amp;amp;masterkey=5af99d620d123</v>
      </c>
      <c r="I347" s="24" t="str">
        <f>IFERROR(__xludf.DUMMYFUNCTION("""COMPUTED_VALUE"""),"Ciências Sociais Aplicadas")</f>
        <v>Ciências Sociais Aplicadas</v>
      </c>
    </row>
    <row r="348">
      <c r="A348" s="24" t="str">
        <f>IFERROR(__xludf.DUMMYFUNCTION("""COMPUTED_VALUE"""),"O direito à diferença: contribuições para uma análise crítica do Direito")</f>
        <v>O direito à diferença: contribuições para uma análise crítica do Direito</v>
      </c>
      <c r="B348" s="24" t="str">
        <f>IFERROR(__xludf.DUMMYFUNCTION("""COMPUTED_VALUE"""),"Charles dos Santos Brasil (org.)")</f>
        <v>Charles dos Santos Brasil (org.)</v>
      </c>
      <c r="C348" s="24" t="str">
        <f>IFERROR(__xludf.DUMMYFUNCTION("""COMPUTED_VALUE"""),"Rio Branco")</f>
        <v>Rio Branco</v>
      </c>
      <c r="D348" s="24" t="str">
        <f>IFERROR(__xludf.DUMMYFUNCTION("""COMPUTED_VALUE"""),"Edufac")</f>
        <v>Edufac</v>
      </c>
      <c r="E348" s="25">
        <f>IFERROR(__xludf.DUMMYFUNCTION("""COMPUTED_VALUE"""),2020.0)</f>
        <v>2020</v>
      </c>
      <c r="F348" s="24" t="str">
        <f>IFERROR(__xludf.DUMMYFUNCTION("""COMPUTED_VALUE"""),"Direito homoafetivo; Identidade de gênero; Direitos de personalidade; Ordem dos Advogados do Brasil")</f>
        <v>Direito homoafetivo; Identidade de gênero; Direitos de personalidade; Ordem dos Advogados do Brasil</v>
      </c>
      <c r="G348" s="28" t="str">
        <f>IFERROR(__xludf.DUMMYFUNCTION("""COMPUTED_VALUE"""),"9788582361160")</f>
        <v>9788582361160</v>
      </c>
      <c r="H348" s="29" t="str">
        <f>IFERROR(__xludf.DUMMYFUNCTION("""COMPUTED_VALUE"""),"http://www2.ufac.br/editora/livros/direito-a-diferenca-1")</f>
        <v>http://www2.ufac.br/editora/livros/direito-a-diferenca-1</v>
      </c>
      <c r="I348" s="24" t="str">
        <f>IFERROR(__xludf.DUMMYFUNCTION("""COMPUTED_VALUE"""),"Ciências Sociais Aplicadas")</f>
        <v>Ciências Sociais Aplicadas</v>
      </c>
    </row>
    <row r="349">
      <c r="A349" s="24" t="str">
        <f>IFERROR(__xludf.DUMMYFUNCTION("""COMPUTED_VALUE"""),"O Direito Achado na Rua: Introdução crítica ao Direito Urbanístico ")</f>
        <v>O Direito Achado na Rua: Introdução crítica ao Direito Urbanístico </v>
      </c>
      <c r="B349" s="24" t="str">
        <f>IFERROR(__xludf.DUMMYFUNCTION("""COMPUTED_VALUE"""),"José Geraldo de Sousa Junior... (et al.)")</f>
        <v>José Geraldo de Sousa Junior... (et al.)</v>
      </c>
      <c r="C349" s="24" t="str">
        <f>IFERROR(__xludf.DUMMYFUNCTION("""COMPUTED_VALUE"""),"Brasília")</f>
        <v>Brasília</v>
      </c>
      <c r="D349" s="24" t="str">
        <f>IFERROR(__xludf.DUMMYFUNCTION("""COMPUTED_VALUE"""),"Universidade de Brasília")</f>
        <v>Universidade de Brasília</v>
      </c>
      <c r="E349" s="25">
        <f>IFERROR(__xludf.DUMMYFUNCTION("""COMPUTED_VALUE"""),2019.0)</f>
        <v>2019</v>
      </c>
      <c r="F349" s="24" t="str">
        <f>IFERROR(__xludf.DUMMYFUNCTION("""COMPUTED_VALUE"""),"Direito à cidade; Movimentos sociais; Direitourbanístico")</f>
        <v>Direito à cidade; Movimentos sociais; Direitourbanístico</v>
      </c>
      <c r="G349" s="28" t="str">
        <f>IFERROR(__xludf.DUMMYFUNCTION("""COMPUTED_VALUE"""),"9788523009304")</f>
        <v>9788523009304</v>
      </c>
      <c r="H349" s="29" t="str">
        <f>IFERROR(__xludf.DUMMYFUNCTION("""COMPUTED_VALUE"""),"https://livros.unb.br/index.php/portal/catalog/view/17/16/70-2")</f>
        <v>https://livros.unb.br/index.php/portal/catalog/view/17/16/70-2</v>
      </c>
      <c r="I349" s="24" t="str">
        <f>IFERROR(__xludf.DUMMYFUNCTION("""COMPUTED_VALUE"""),"Ciências Sociais Aplicadas")</f>
        <v>Ciências Sociais Aplicadas</v>
      </c>
    </row>
    <row r="350">
      <c r="A350" s="24" t="str">
        <f>IFERROR(__xludf.DUMMYFUNCTION("""COMPUTED_VALUE"""),"O direito constitucional e a segurança social")</f>
        <v>O direito constitucional e a segurança social</v>
      </c>
      <c r="B350" s="24" t="str">
        <f>IFERROR(__xludf.DUMMYFUNCTION("""COMPUTED_VALUE"""),"Carlos Luiz Strapazzon; ")</f>
        <v>Carlos Luiz Strapazzon; </v>
      </c>
      <c r="C350" s="24" t="str">
        <f>IFERROR(__xludf.DUMMYFUNCTION("""COMPUTED_VALUE"""),"Joaçaba")</f>
        <v>Joaçaba</v>
      </c>
      <c r="D350" s="24" t="str">
        <f>IFERROR(__xludf.DUMMYFUNCTION("""COMPUTED_VALUE"""),"Unoesc")</f>
        <v>Unoesc</v>
      </c>
      <c r="E350" s="25">
        <f>IFERROR(__xludf.DUMMYFUNCTION("""COMPUTED_VALUE"""),2019.0)</f>
        <v>2019</v>
      </c>
      <c r="F350" s="24" t="str">
        <f>IFERROR(__xludf.DUMMYFUNCTION("""COMPUTED_VALUE"""),"Direito constitucional, Legislação social")</f>
        <v>Direito constitucional, Legislação social</v>
      </c>
      <c r="G350" s="28" t="str">
        <f>IFERROR(__xludf.DUMMYFUNCTION("""COMPUTED_VALUE"""),"9788584222087")</f>
        <v>9788584222087</v>
      </c>
      <c r="H350" s="29" t="str">
        <f>IFERROR(__xludf.DUMMYFUNCTION("""COMPUTED_VALUE"""),"https://www.unoesc.edu.br/images/uploads/editora/Miolo_o_direito_constitucional.pdf")</f>
        <v>https://www.unoesc.edu.br/images/uploads/editora/Miolo_o_direito_constitucional.pdf</v>
      </c>
      <c r="I350" s="24" t="str">
        <f>IFERROR(__xludf.DUMMYFUNCTION("""COMPUTED_VALUE"""),"Ciências Sociais Aplicadas")</f>
        <v>Ciências Sociais Aplicadas</v>
      </c>
    </row>
    <row r="351">
      <c r="A351" s="24" t="str">
        <f>IFERROR(__xludf.DUMMYFUNCTION("""COMPUTED_VALUE"""),"O ensino privado em Pelotas – RS na propaganda impressa: séculos XIX, XX, XXI")</f>
        <v>O ensino privado em Pelotas – RS na propaganda impressa: séculos XIX, XX, XXI</v>
      </c>
      <c r="B351" s="24" t="str">
        <f>IFERROR(__xludf.DUMMYFUNCTION("""COMPUTED_VALUE"""),"Neves, Helena de Araújo; ")</f>
        <v>Neves, Helena de Araújo; </v>
      </c>
      <c r="C351" s="24" t="str">
        <f>IFERROR(__xludf.DUMMYFUNCTION("""COMPUTED_VALUE"""),"Pelotas")</f>
        <v>Pelotas</v>
      </c>
      <c r="D351" s="24" t="str">
        <f>IFERROR(__xludf.DUMMYFUNCTION("""COMPUTED_VALUE"""),"UFPel")</f>
        <v>UFPel</v>
      </c>
      <c r="E351" s="25">
        <f>IFERROR(__xludf.DUMMYFUNCTION("""COMPUTED_VALUE"""),2017.0)</f>
        <v>2017</v>
      </c>
      <c r="F351" s="24" t="str">
        <f>IFERROR(__xludf.DUMMYFUNCTION("""COMPUTED_VALUE"""),"Educação privada; História da educação; Propaganda; Pelotas")</f>
        <v>Educação privada; História da educação; Propaganda; Pelotas</v>
      </c>
      <c r="G351" s="28" t="str">
        <f>IFERROR(__xludf.DUMMYFUNCTION("""COMPUTED_VALUE"""),"978855170068")</f>
        <v>978855170068</v>
      </c>
      <c r="H351" s="29" t="str">
        <f>IFERROR(__xludf.DUMMYFUNCTION("""COMPUTED_VALUE"""),"http://repositorio.ufpel.edu.br:8080/bitstream/prefix/3799/1/3_ENSINO%20PRIVADO%20EM%20PELOTAS-RS%20NA%20PROPAGANDA%20IMPRESSA_S%c3%89RIE%20P%c3%93S%20GRADUA%c3%87%c3%83O.pdf")</f>
        <v>http://repositorio.ufpel.edu.br:8080/bitstream/prefix/3799/1/3_ENSINO%20PRIVADO%20EM%20PELOTAS-RS%20NA%20PROPAGANDA%20IMPRESSA_S%c3%89RIE%20P%c3%93S%20GRADUA%c3%87%c3%83O.pdf</v>
      </c>
      <c r="I351" s="24" t="str">
        <f>IFERROR(__xludf.DUMMYFUNCTION("""COMPUTED_VALUE"""),"Ciências Sociais Aplicadas")</f>
        <v>Ciências Sociais Aplicadas</v>
      </c>
    </row>
    <row r="352">
      <c r="A352" s="24" t="str">
        <f>IFERROR(__xludf.DUMMYFUNCTION("""COMPUTED_VALUE"""),"O esporte amador em telejornais esportivos interioranos: um estudo sobre os programas produzidos em Campina Grande-PB")</f>
        <v>O esporte amador em telejornais esportivos interioranos: um estudo sobre os programas produzidos em Campina Grande-PB</v>
      </c>
      <c r="B352" s="24" t="str">
        <f>IFERROR(__xludf.DUMMYFUNCTION("""COMPUTED_VALUE"""),"Raul Ramalho")</f>
        <v>Raul Ramalho</v>
      </c>
      <c r="C352" s="24" t="str">
        <f>IFERROR(__xludf.DUMMYFUNCTION("""COMPUTED_VALUE"""),"Campina Grande")</f>
        <v>Campina Grande</v>
      </c>
      <c r="D352" s="24" t="str">
        <f>IFERROR(__xludf.DUMMYFUNCTION("""COMPUTED_VALUE"""),"EDUEPB")</f>
        <v>EDUEPB</v>
      </c>
      <c r="E352" s="25">
        <f>IFERROR(__xludf.DUMMYFUNCTION("""COMPUTED_VALUE"""),2018.0)</f>
        <v>2018</v>
      </c>
      <c r="F352" s="24" t="str">
        <f>IFERROR(__xludf.DUMMYFUNCTION("""COMPUTED_VALUE"""),"Jornalismo esportivo. Telejornalismo Regional - Midiatização. Telejornais esportivos – Campina GrandePB. Comunicação e esporte")</f>
        <v>Jornalismo esportivo. Telejornalismo Regional - Midiatização. Telejornais esportivos – Campina GrandePB. Comunicação e esporte</v>
      </c>
      <c r="G352" s="28" t="str">
        <f>IFERROR(__xludf.DUMMYFUNCTION("""COMPUTED_VALUE"""),"9788578795306")</f>
        <v>9788578795306</v>
      </c>
      <c r="H352" s="29" t="str">
        <f>IFERROR(__xludf.DUMMYFUNCTION("""COMPUTED_VALUE"""),"http://eduepb.uepb.edu.br/download/o-esporte-amador-em-telejornais-esportivos-interioranos-um-estudo-sobre-os-programas-produzidos-em-campina-grande-pb/?wpdmdl=560&amp;amp;masterkey=5c00057423021")</f>
        <v>http://eduepb.uepb.edu.br/download/o-esporte-amador-em-telejornais-esportivos-interioranos-um-estudo-sobre-os-programas-produzidos-em-campina-grande-pb/?wpdmdl=560&amp;amp;masterkey=5c00057423021</v>
      </c>
      <c r="I352" s="24" t="str">
        <f>IFERROR(__xludf.DUMMYFUNCTION("""COMPUTED_VALUE"""),"Ciências Sociais Aplicadas")</f>
        <v>Ciências Sociais Aplicadas</v>
      </c>
    </row>
    <row r="353">
      <c r="A353" s="24" t="str">
        <f>IFERROR(__xludf.DUMMYFUNCTION("""COMPUTED_VALUE"""),"O futuro das cidades: direitos fundamentais, sustentabilidade, resiliência e disrupção")</f>
        <v>O futuro das cidades: direitos fundamentais, sustentabilidade, resiliência e disrupção</v>
      </c>
      <c r="B353" s="24" t="str">
        <f>IFERROR(__xludf.DUMMYFUNCTION("""COMPUTED_VALUE"""),"Cristhian Magnus De Marco")</f>
        <v>Cristhian Magnus De Marco</v>
      </c>
      <c r="C353" s="24" t="str">
        <f>IFERROR(__xludf.DUMMYFUNCTION("""COMPUTED_VALUE"""),"Joaçaba")</f>
        <v>Joaçaba</v>
      </c>
      <c r="D353" s="24" t="str">
        <f>IFERROR(__xludf.DUMMYFUNCTION("""COMPUTED_VALUE"""),"Unoesc")</f>
        <v>Unoesc</v>
      </c>
      <c r="E353" s="25">
        <f>IFERROR(__xludf.DUMMYFUNCTION("""COMPUTED_VALUE"""),2020.0)</f>
        <v>2020</v>
      </c>
      <c r="F353" s="24" t="str">
        <f>IFERROR(__xludf.DUMMYFUNCTION("""COMPUTED_VALUE"""),"Direitos fundamentais Cidades e vilas Sustentabilidade")</f>
        <v>Direitos fundamentais Cidades e vilas Sustentabilidade</v>
      </c>
      <c r="G353" s="28" t="str">
        <f>IFERROR(__xludf.DUMMYFUNCTION("""COMPUTED_VALUE"""),"9786586158229")</f>
        <v>9786586158229</v>
      </c>
      <c r="H353" s="29" t="str">
        <f>IFERROR(__xludf.DUMMYFUNCTION("""COMPUTED_VALUE"""),"https://www.unoesc.edu.br/images/uploads/editora/o_futuro_das_cidades.pdf")</f>
        <v>https://www.unoesc.edu.br/images/uploads/editora/o_futuro_das_cidades.pdf</v>
      </c>
      <c r="I353" s="24" t="str">
        <f>IFERROR(__xludf.DUMMYFUNCTION("""COMPUTED_VALUE"""),"Ciências Sociais Aplicadas")</f>
        <v>Ciências Sociais Aplicadas</v>
      </c>
    </row>
    <row r="354">
      <c r="A354" s="24" t="str">
        <f>IFERROR(__xludf.DUMMYFUNCTION("""COMPUTED_VALUE"""),"O homem sem fundamentos: sobre linguagem, sujeito e tempo")</f>
        <v>O homem sem fundamentos: sobre linguagem, sujeito e tempo</v>
      </c>
      <c r="B354" s="24" t="str">
        <f>IFERROR(__xludf.DUMMYFUNCTION("""COMPUTED_VALUE"""),"Márcio Tavares D'Amaral")</f>
        <v>Márcio Tavares D'Amaral</v>
      </c>
      <c r="C354" s="24" t="str">
        <f>IFERROR(__xludf.DUMMYFUNCTION("""COMPUTED_VALUE"""),"Rio de Janeiro")</f>
        <v>Rio de Janeiro</v>
      </c>
      <c r="D354" s="24" t="str">
        <f>IFERROR(__xludf.DUMMYFUNCTION("""COMPUTED_VALUE"""),"Editora UFRJ")</f>
        <v>Editora UFRJ</v>
      </c>
      <c r="E354" s="25">
        <f>IFERROR(__xludf.DUMMYFUNCTION("""COMPUTED_VALUE"""),1995.0)</f>
        <v>1995</v>
      </c>
      <c r="F354" s="24" t="str">
        <f>IFERROR(__xludf.DUMMYFUNCTION("""COMPUTED_VALUE"""),"Teoria da Comunicação; Filosofia da comunicação; Linguagem; Comunicação")</f>
        <v>Teoria da Comunicação; Filosofia da comunicação; Linguagem; Comunicação</v>
      </c>
      <c r="G354" s="28" t="str">
        <f>IFERROR(__xludf.DUMMYFUNCTION("""COMPUTED_VALUE"""),"8571081271")</f>
        <v>8571081271</v>
      </c>
      <c r="H354" s="29" t="str">
        <f>IFERROR(__xludf.DUMMYFUNCTION("""COMPUTED_VALUE"""),"http://www.editora.ufrj.br/DynamicItems/livrosabertos-1/HomemSemFundamentos_compressed.pdf")</f>
        <v>http://www.editora.ufrj.br/DynamicItems/livrosabertos-1/HomemSemFundamentos_compressed.pdf</v>
      </c>
      <c r="I354" s="24" t="str">
        <f>IFERROR(__xludf.DUMMYFUNCTION("""COMPUTED_VALUE"""),"Ciências Sociais Aplicadas")</f>
        <v>Ciências Sociais Aplicadas</v>
      </c>
    </row>
    <row r="355">
      <c r="A355" s="24" t="str">
        <f>IFERROR(__xludf.DUMMYFUNCTION("""COMPUTED_VALUE"""),"O impacto das novas tecnologias nos direitos fundamentais")</f>
        <v>O impacto das novas tecnologias nos direitos fundamentais</v>
      </c>
      <c r="B355" s="24" t="str">
        <f>IFERROR(__xludf.DUMMYFUNCTION("""COMPUTED_VALUE"""),"Narciso Leandro Xavier Baez, Vinicius Almada Mozetic, Nuria Belloso Martin e Helena Nadal Sánchez")</f>
        <v>Narciso Leandro Xavier Baez, Vinicius Almada Mozetic, Nuria Belloso Martin e Helena Nadal Sánchez</v>
      </c>
      <c r="C355" s="24" t="str">
        <f>IFERROR(__xludf.DUMMYFUNCTION("""COMPUTED_VALUE"""),"Joaçaba")</f>
        <v>Joaçaba</v>
      </c>
      <c r="D355" s="24" t="str">
        <f>IFERROR(__xludf.DUMMYFUNCTION("""COMPUTED_VALUE"""),"Unoesc")</f>
        <v>Unoesc</v>
      </c>
      <c r="E355" s="25">
        <f>IFERROR(__xludf.DUMMYFUNCTION("""COMPUTED_VALUE"""),2018.0)</f>
        <v>2018</v>
      </c>
      <c r="F355" s="24" t="str">
        <f>IFERROR(__xludf.DUMMYFUNCTION("""COMPUTED_VALUE"""),"Direitos fundamentais, Tecnologia – Aspectos; sociais, Direitos humanos")</f>
        <v>Direitos fundamentais, Tecnologia – Aspectos; sociais, Direitos humanos</v>
      </c>
      <c r="G355" s="28" t="str">
        <f>IFERROR(__xludf.DUMMYFUNCTION("""COMPUTED_VALUE"""),"9788584221868")</f>
        <v>9788584221868</v>
      </c>
      <c r="H355" s="29" t="str">
        <f>IFERROR(__xludf.DUMMYFUNCTION("""COMPUTED_VALUE"""),"https://www.unoesc.edu.br/images/uploads/editora/Miolo.pdf")</f>
        <v>https://www.unoesc.edu.br/images/uploads/editora/Miolo.pdf</v>
      </c>
      <c r="I355" s="24" t="str">
        <f>IFERROR(__xludf.DUMMYFUNCTION("""COMPUTED_VALUE"""),"Ciências Sociais Aplicadas")</f>
        <v>Ciências Sociais Aplicadas</v>
      </c>
    </row>
    <row r="356">
      <c r="A356" s="24" t="str">
        <f>IFERROR(__xludf.DUMMYFUNCTION("""COMPUTED_VALUE"""),"O jogo/brincadeira como elemento pedagógico no sistema prisional")</f>
        <v>O jogo/brincadeira como elemento pedagógico no sistema prisional</v>
      </c>
      <c r="B356" s="24" t="str">
        <f>IFERROR(__xludf.DUMMYFUNCTION("""COMPUTED_VALUE"""),"Alcides José Scaglia, Kleber Tuxen Carneiro e Ricardo; Leite de Camargo")</f>
        <v>Alcides José Scaglia, Kleber Tuxen Carneiro e Ricardo; Leite de Camargo</v>
      </c>
      <c r="C356" s="24" t="str">
        <f>IFERROR(__xludf.DUMMYFUNCTION("""COMPUTED_VALUE"""),"Cáceres")</f>
        <v>Cáceres</v>
      </c>
      <c r="D356" s="24" t="str">
        <f>IFERROR(__xludf.DUMMYFUNCTION("""COMPUTED_VALUE"""),"UNEMAT")</f>
        <v>UNEMAT</v>
      </c>
      <c r="E356" s="25">
        <f>IFERROR(__xludf.DUMMYFUNCTION("""COMPUTED_VALUE"""),2014.0)</f>
        <v>2014</v>
      </c>
      <c r="F356" s="24" t="str">
        <f>IFERROR(__xludf.DUMMYFUNCTION("""COMPUTED_VALUE"""),"Ciências Sociais; Educação")</f>
        <v>Ciências Sociais; Educação</v>
      </c>
      <c r="G356" s="28" t="str">
        <f>IFERROR(__xludf.DUMMYFUNCTION("""COMPUTED_VALUE"""),"9788579111365")</f>
        <v>9788579111365</v>
      </c>
      <c r="H356" s="29" t="str">
        <f>IFERROR(__xludf.DUMMYFUNCTION("""COMPUTED_VALUE"""),"http://www.unemat.br/reitoria/editora/downloads/eletronico/jogo_e_brincadeira_online.pdf")</f>
        <v>http://www.unemat.br/reitoria/editora/downloads/eletronico/jogo_e_brincadeira_online.pdf</v>
      </c>
      <c r="I356" s="24" t="str">
        <f>IFERROR(__xludf.DUMMYFUNCTION("""COMPUTED_VALUE"""),"Ciências Sociais Aplicadas")</f>
        <v>Ciências Sociais Aplicadas</v>
      </c>
    </row>
    <row r="357">
      <c r="A357" s="24" t="str">
        <f>IFERROR(__xludf.DUMMYFUNCTION("""COMPUTED_VALUE"""),"O JORNALISMO SETENTINHA: A História da Imprensa Amapaense na década de 1970")</f>
        <v>O JORNALISMO SETENTINHA: A História da Imprensa Amapaense na década de 1970</v>
      </c>
      <c r="B357" s="24" t="str">
        <f>IFERROR(__xludf.DUMMYFUNCTION("""COMPUTED_VALUE"""),"Eloisy Karoliny Almeida dos Santos; Silvia Andréa dos Santos Cruz Maciel")</f>
        <v>Eloisy Karoliny Almeida dos Santos; Silvia Andréa dos Santos Cruz Maciel</v>
      </c>
      <c r="C357" s="24" t="str">
        <f>IFERROR(__xludf.DUMMYFUNCTION("""COMPUTED_VALUE"""),"Macapá")</f>
        <v>Macapá</v>
      </c>
      <c r="D357" s="24" t="str">
        <f>IFERROR(__xludf.DUMMYFUNCTION("""COMPUTED_VALUE"""),"UNIFAP")</f>
        <v>UNIFAP</v>
      </c>
      <c r="E357" s="25">
        <f>IFERROR(__xludf.DUMMYFUNCTION("""COMPUTED_VALUE"""),2018.0)</f>
        <v>2018</v>
      </c>
      <c r="F357" s="24" t="str">
        <f>IFERROR(__xludf.DUMMYFUNCTION("""COMPUTED_VALUE"""),"Jornalismo; Imprensa; Memória; Amapá (Estado)")</f>
        <v>Jornalismo; Imprensa; Memória; Amapá (Estado)</v>
      </c>
      <c r="G357" s="28" t="str">
        <f>IFERROR(__xludf.DUMMYFUNCTION("""COMPUTED_VALUE"""),"9788554760274")</f>
        <v>9788554760274</v>
      </c>
      <c r="H357" s="29" t="str">
        <f>IFERROR(__xludf.DUMMYFUNCTION("""COMPUTED_VALUE"""),"https://www2.unifap.br/editora/files/2018/12/O-jornalismo-setentinha.pdf")</f>
        <v>https://www2.unifap.br/editora/files/2018/12/O-jornalismo-setentinha.pdf</v>
      </c>
      <c r="I357" s="24" t="str">
        <f>IFERROR(__xludf.DUMMYFUNCTION("""COMPUTED_VALUE"""),"Ciências Sociais Aplicadas")</f>
        <v>Ciências Sociais Aplicadas</v>
      </c>
    </row>
    <row r="358">
      <c r="A358" s="24" t="str">
        <f>IFERROR(__xludf.DUMMYFUNCTION("""COMPUTED_VALUE"""),"O lugar da Amazônia nas Relações Internacionais: novas abordagens")</f>
        <v>O lugar da Amazônia nas Relações Internacionais: novas abordagens</v>
      </c>
      <c r="B358" s="24" t="str">
        <f>IFERROR(__xludf.DUMMYFUNCTION("""COMPUTED_VALUE"""),"Whitney Cabral e Daniel Chaves (org.)")</f>
        <v>Whitney Cabral e Daniel Chaves (org.)</v>
      </c>
      <c r="C358" s="24" t="str">
        <f>IFERROR(__xludf.DUMMYFUNCTION("""COMPUTED_VALUE"""),"Macapá")</f>
        <v>Macapá</v>
      </c>
      <c r="D358" s="24" t="str">
        <f>IFERROR(__xludf.DUMMYFUNCTION("""COMPUTED_VALUE"""),"UNIFAP")</f>
        <v>UNIFAP</v>
      </c>
      <c r="E358" s="25">
        <f>IFERROR(__xludf.DUMMYFUNCTION("""COMPUTED_VALUE"""),2017.0)</f>
        <v>2017</v>
      </c>
      <c r="F358" s="24" t="str">
        <f>IFERROR(__xludf.DUMMYFUNCTION("""COMPUTED_VALUE"""),"Amazônia; Relações Internacionais; Ciência Política")</f>
        <v>Amazônia; Relações Internacionais; Ciência Política</v>
      </c>
      <c r="G358" s="28" t="str">
        <f>IFERROR(__xludf.DUMMYFUNCTION("""COMPUTED_VALUE"""),"9788554760038")</f>
        <v>9788554760038</v>
      </c>
      <c r="H358" s="29" t="str">
        <f>IFERROR(__xludf.DUMMYFUNCTION("""COMPUTED_VALUE"""),"https://www2.unifap.br/editora/files/2018/12/O-lugar-da-Amaz%c3%b4nia-nas-rela%c3%a7%c3%b5es-internacionais.pdf")</f>
        <v>https://www2.unifap.br/editora/files/2018/12/O-lugar-da-Amaz%c3%b4nia-nas-rela%c3%a7%c3%b5es-internacionais.pdf</v>
      </c>
      <c r="I358" s="24" t="str">
        <f>IFERROR(__xludf.DUMMYFUNCTION("""COMPUTED_VALUE"""),"Ciências Sociais Aplicadas")</f>
        <v>Ciências Sociais Aplicadas</v>
      </c>
    </row>
    <row r="359">
      <c r="A359" s="24" t="str">
        <f>IFERROR(__xludf.DUMMYFUNCTION("""COMPUTED_VALUE"""),"O monitoramento eletrônico de presos e a paz social no contexto urbano")</f>
        <v>O monitoramento eletrônico de presos e a paz social no contexto urbano</v>
      </c>
      <c r="B359" s="24" t="str">
        <f>IFERROR(__xludf.DUMMYFUNCTION("""COMPUTED_VALUE"""),"Bruno César Azevedo Isidro; ")</f>
        <v>Bruno César Azevedo Isidro; </v>
      </c>
      <c r="C359" s="24" t="str">
        <f>IFERROR(__xludf.DUMMYFUNCTION("""COMPUTED_VALUE"""),"Campina Grande")</f>
        <v>Campina Grande</v>
      </c>
      <c r="D359" s="24" t="str">
        <f>IFERROR(__xludf.DUMMYFUNCTION("""COMPUTED_VALUE"""),"EDUEPB")</f>
        <v>EDUEPB</v>
      </c>
      <c r="E359" s="25">
        <f>IFERROR(__xludf.DUMMYFUNCTION("""COMPUTED_VALUE"""),2017.0)</f>
        <v>2017</v>
      </c>
      <c r="F359" s="24" t="str">
        <f>IFERROR(__xludf.DUMMYFUNCTION("""COMPUTED_VALUE"""),"Sistema prisional. Ambiente prisional. Arquitetura social. Combate à violência. Monitoramento eletrônico de presos no Brasil. Direitos humano. Criminologia")</f>
        <v>Sistema prisional. Ambiente prisional. Arquitetura social. Combate à violência. Monitoramento eletrônico de presos no Brasil. Direitos humano. Criminologia</v>
      </c>
      <c r="G359" s="28" t="str">
        <f>IFERROR(__xludf.DUMMYFUNCTION("""COMPUTED_VALUE"""),"9788578793517")</f>
        <v>9788578793517</v>
      </c>
      <c r="H359" s="29" t="str">
        <f>IFERROR(__xludf.DUMMYFUNCTION("""COMPUTED_VALUE"""),"http://eduepb.uepb.edu.br/download/multiplos-olhares-para-a-formac%cc%a7a%cc%83o-de-professores/?wpdmdl=197&amp;amp;masterkey=5af99c6aabe10")</f>
        <v>http://eduepb.uepb.edu.br/download/multiplos-olhares-para-a-formac%cc%a7a%cc%83o-de-professores/?wpdmdl=197&amp;amp;masterkey=5af99c6aabe10</v>
      </c>
      <c r="I359" s="24" t="str">
        <f>IFERROR(__xludf.DUMMYFUNCTION("""COMPUTED_VALUE"""),"Ciências Sociais Aplicadas")</f>
        <v>Ciências Sociais Aplicadas</v>
      </c>
    </row>
    <row r="360">
      <c r="A360" s="24" t="str">
        <f>IFERROR(__xludf.DUMMYFUNCTION("""COMPUTED_VALUE"""),"O Nordeste e seus desafios")</f>
        <v>O Nordeste e seus desafios</v>
      </c>
      <c r="B360" s="24" t="str">
        <f>IFERROR(__xludf.DUMMYFUNCTION("""COMPUTED_VALUE"""),"Rosilene Dias Montenegro (org.)")</f>
        <v>Rosilene Dias Montenegro (org.)</v>
      </c>
      <c r="C360" s="24" t="str">
        <f>IFERROR(__xludf.DUMMYFUNCTION("""COMPUTED_VALUE"""),"Campina Grande")</f>
        <v>Campina Grande</v>
      </c>
      <c r="D360" s="24" t="str">
        <f>IFERROR(__xludf.DUMMYFUNCTION("""COMPUTED_VALUE"""),"EDUEPB")</f>
        <v>EDUEPB</v>
      </c>
      <c r="E360" s="25">
        <f>IFERROR(__xludf.DUMMYFUNCTION("""COMPUTED_VALUE"""),2019.0)</f>
        <v>2019</v>
      </c>
      <c r="F360" s="24" t="str">
        <f>IFERROR(__xludf.DUMMYFUNCTION("""COMPUTED_VALUE"""),"Desenvolvimento regional - Nordeste. Aspectos socioeconômicos e políticos - Brasil - Nordeste. Políticas públicas. Desenvolvimento regional - História")</f>
        <v>Desenvolvimento regional - Nordeste. Aspectos socioeconômicos e políticos - Brasil - Nordeste. Políticas públicas. Desenvolvimento regional - História</v>
      </c>
      <c r="G360" s="28" t="str">
        <f>IFERROR(__xludf.DUMMYFUNCTION("""COMPUTED_VALUE"""),"9788578795337")</f>
        <v>9788578795337</v>
      </c>
      <c r="H360" s="29" t="str">
        <f>IFERROR(__xludf.DUMMYFUNCTION("""COMPUTED_VALUE"""),"http://eduepb.uepb.edu.br/download/o-nordeste-e-seus-desafios/?wpdmdl=697&amp;amp;masterkey=5cc6e2d4edca5")</f>
        <v>http://eduepb.uepb.edu.br/download/o-nordeste-e-seus-desafios/?wpdmdl=697&amp;amp;masterkey=5cc6e2d4edca5</v>
      </c>
      <c r="I360" s="24" t="str">
        <f>IFERROR(__xludf.DUMMYFUNCTION("""COMPUTED_VALUE"""),"Ciências Sociais Aplicadas")</f>
        <v>Ciências Sociais Aplicadas</v>
      </c>
    </row>
    <row r="361">
      <c r="A361" s="24" t="str">
        <f>IFERROR(__xludf.DUMMYFUNCTION("""COMPUTED_VALUE"""),"O Paraíso do Capital: intervenções socioeconômicas do turismo na Serra do Ibitipoca/MG")</f>
        <v>O Paraíso do Capital: intervenções socioeconômicas do turismo na Serra do Ibitipoca/MG</v>
      </c>
      <c r="B361" s="24" t="str">
        <f>IFERROR(__xludf.DUMMYFUNCTION("""COMPUTED_VALUE"""),"Bruno Pereira Bedim")</f>
        <v>Bruno Pereira Bedim</v>
      </c>
      <c r="C361" s="24" t="str">
        <f>IFERROR(__xludf.DUMMYFUNCTION("""COMPUTED_VALUE"""),"Ouro Preto")</f>
        <v>Ouro Preto</v>
      </c>
      <c r="D361" s="24" t="str">
        <f>IFERROR(__xludf.DUMMYFUNCTION("""COMPUTED_VALUE"""),"UFOP")</f>
        <v>UFOP</v>
      </c>
      <c r="E361" s="25">
        <f>IFERROR(__xludf.DUMMYFUNCTION("""COMPUTED_VALUE"""),2016.0)</f>
        <v>2016</v>
      </c>
      <c r="F361" s="24" t="str">
        <f>IFERROR(__xludf.DUMMYFUNCTION("""COMPUTED_VALUE"""),"Turismo. Parques Nacionais - Brasil. Materialismo histórico. Camponeses. Agricultura e Estado")</f>
        <v>Turismo. Parques Nacionais - Brasil. Materialismo histórico. Camponeses. Agricultura e Estado</v>
      </c>
      <c r="G361" s="28" t="str">
        <f>IFERROR(__xludf.DUMMYFUNCTION("""COMPUTED_VALUE"""),"9788528803488")</f>
        <v>9788528803488</v>
      </c>
      <c r="H361" s="29" t="str">
        <f>IFERROR(__xludf.DUMMYFUNCTION("""COMPUTED_VALUE"""),"https://www.editora.ufop.br/index.php/editora/catalog/view/18/8/33-1")</f>
        <v>https://www.editora.ufop.br/index.php/editora/catalog/view/18/8/33-1</v>
      </c>
      <c r="I361" s="24" t="str">
        <f>IFERROR(__xludf.DUMMYFUNCTION("""COMPUTED_VALUE"""),"Ciências Sociais Aplicadas")</f>
        <v>Ciências Sociais Aplicadas</v>
      </c>
    </row>
    <row r="362">
      <c r="A362" s="24" t="str">
        <f>IFERROR(__xludf.DUMMYFUNCTION("""COMPUTED_VALUE"""),"O quibe no tabuleiro da baiana: uma reflexão sobre a imigração síria e libanesa e o turismo cultural em Ilhéus")</f>
        <v>O quibe no tabuleiro da baiana: uma reflexão sobre a imigração síria e libanesa e o turismo cultural em Ilhéus</v>
      </c>
      <c r="B362" s="24" t="str">
        <f>IFERROR(__xludf.DUMMYFUNCTION("""COMPUTED_VALUE"""),"Maria Luiza Silva Santos")</f>
        <v>Maria Luiza Silva Santos</v>
      </c>
      <c r="C362" s="24" t="str">
        <f>IFERROR(__xludf.DUMMYFUNCTION("""COMPUTED_VALUE"""),"Ilhéus, BA")</f>
        <v>Ilhéus, BA</v>
      </c>
      <c r="D362" s="24" t="str">
        <f>IFERROR(__xludf.DUMMYFUNCTION("""COMPUTED_VALUE"""),"Editus")</f>
        <v>Editus</v>
      </c>
      <c r="E362" s="25">
        <f>IFERROR(__xludf.DUMMYFUNCTION("""COMPUTED_VALUE"""),2006.0)</f>
        <v>2006</v>
      </c>
      <c r="F362" s="24" t="str">
        <f>IFERROR(__xludf.DUMMYFUNCTION("""COMPUTED_VALUE"""),"Turismo cultural - Ilhéus (BA); Libaneses - Migração - Bahia; Sírios - Migração - Bahia; Culinária árabe")</f>
        <v>Turismo cultural - Ilhéus (BA); Libaneses - Migração - Bahia; Sírios - Migração - Bahia; Culinária árabe</v>
      </c>
      <c r="G362" s="28" t="str">
        <f>IFERROR(__xludf.DUMMYFUNCTION("""COMPUTED_VALUE"""),"857455104X")</f>
        <v>857455104X</v>
      </c>
      <c r="H362" s="29" t="str">
        <f>IFERROR(__xludf.DUMMYFUNCTION("""COMPUTED_VALUE"""),"http://www.uesc.br/editora/livrosdigitais/quibe_tabuleiro_baiana.pdf")</f>
        <v>http://www.uesc.br/editora/livrosdigitais/quibe_tabuleiro_baiana.pdf</v>
      </c>
      <c r="I362" s="24" t="str">
        <f>IFERROR(__xludf.DUMMYFUNCTION("""COMPUTED_VALUE"""),"Ciências Sociais Aplicadas")</f>
        <v>Ciências Sociais Aplicadas</v>
      </c>
    </row>
    <row r="363">
      <c r="A363" s="24" t="str">
        <f>IFERROR(__xludf.DUMMYFUNCTION("""COMPUTED_VALUE"""),"O rádio no Amapá: pioneiros")</f>
        <v>O rádio no Amapá: pioneiros</v>
      </c>
      <c r="B363" s="24" t="str">
        <f>IFERROR(__xludf.DUMMYFUNCTION("""COMPUTED_VALUE"""),"Paulo Giraldi (org.)")</f>
        <v>Paulo Giraldi (org.)</v>
      </c>
      <c r="C363" s="24" t="str">
        <f>IFERROR(__xludf.DUMMYFUNCTION("""COMPUTED_VALUE"""),"Macapá")</f>
        <v>Macapá</v>
      </c>
      <c r="D363" s="24" t="str">
        <f>IFERROR(__xludf.DUMMYFUNCTION("""COMPUTED_VALUE"""),"UNIFAP")</f>
        <v>UNIFAP</v>
      </c>
      <c r="E363" s="25">
        <f>IFERROR(__xludf.DUMMYFUNCTION("""COMPUTED_VALUE"""),2018.0)</f>
        <v>2018</v>
      </c>
      <c r="F363" s="24" t="str">
        <f>IFERROR(__xludf.DUMMYFUNCTION("""COMPUTED_VALUE"""),"Mídia Sonora; Rádio; Amazônia; Amapá (Estado)")</f>
        <v>Mídia Sonora; Rádio; Amazônia; Amapá (Estado)</v>
      </c>
      <c r="G363" s="28" t="str">
        <f>IFERROR(__xludf.DUMMYFUNCTION("""COMPUTED_VALUE"""),"9788554760236")</f>
        <v>9788554760236</v>
      </c>
      <c r="H363" s="29" t="str">
        <f>IFERROR(__xludf.DUMMYFUNCTION("""COMPUTED_VALUE"""),"https://www2.unifap.br/editora/files/2018/12/O-r%c3%a1dio-no-Amap%c3%a1.pdf")</f>
        <v>https://www2.unifap.br/editora/files/2018/12/O-r%c3%a1dio-no-Amap%c3%a1.pdf</v>
      </c>
      <c r="I363" s="24" t="str">
        <f>IFERROR(__xludf.DUMMYFUNCTION("""COMPUTED_VALUE"""),"Ciências Sociais Aplicadas")</f>
        <v>Ciências Sociais Aplicadas</v>
      </c>
    </row>
    <row r="364">
      <c r="A364" s="24" t="str">
        <f>IFERROR(__xludf.DUMMYFUNCTION("""COMPUTED_VALUE"""),"O Regime jurídico do bem cultural edificado no Brasil")</f>
        <v>O Regime jurídico do bem cultural edificado no Brasil</v>
      </c>
      <c r="B364" s="24" t="str">
        <f>IFERROR(__xludf.DUMMYFUNCTION("""COMPUTED_VALUE"""),"Carlos Magno de Souza Paiva")</f>
        <v>Carlos Magno de Souza Paiva</v>
      </c>
      <c r="C364" s="24" t="str">
        <f>IFERROR(__xludf.DUMMYFUNCTION("""COMPUTED_VALUE"""),"Ouro Preto")</f>
        <v>Ouro Preto</v>
      </c>
      <c r="D364" s="24" t="str">
        <f>IFERROR(__xludf.DUMMYFUNCTION("""COMPUTED_VALUE"""),"UFOP")</f>
        <v>UFOP</v>
      </c>
      <c r="E364" s="25">
        <f>IFERROR(__xludf.DUMMYFUNCTION("""COMPUTED_VALUE"""),2010.0)</f>
        <v>2010</v>
      </c>
      <c r="F364" s="24" t="str">
        <f>IFERROR(__xludf.DUMMYFUNCTION("""COMPUTED_VALUE"""),"Patrimônio cultural. Direito. Cultura-preservação")</f>
        <v>Patrimônio cultural. Direito. Cultura-preservação</v>
      </c>
      <c r="G364" s="28" t="str">
        <f>IFERROR(__xludf.DUMMYFUNCTION("""COMPUTED_VALUE"""),"9788528800524")</f>
        <v>9788528800524</v>
      </c>
      <c r="H364" s="29" t="str">
        <f>IFERROR(__xludf.DUMMYFUNCTION("""COMPUTED_VALUE"""),"https://www.editora.ufop.br/index.php/editora/catalog/view/27/16/57-1")</f>
        <v>https://www.editora.ufop.br/index.php/editora/catalog/view/27/16/57-1</v>
      </c>
      <c r="I364" s="24" t="str">
        <f>IFERROR(__xludf.DUMMYFUNCTION("""COMPUTED_VALUE"""),"Ciências Sociais Aplicadas")</f>
        <v>Ciências Sociais Aplicadas</v>
      </c>
    </row>
    <row r="365">
      <c r="A365" s="24" t="str">
        <f>IFERROR(__xludf.DUMMYFUNCTION("""COMPUTED_VALUE"""),"O trabalho intersetorial que está dando certo")</f>
        <v>O trabalho intersetorial que está dando certo</v>
      </c>
      <c r="B365" s="24" t="str">
        <f>IFERROR(__xludf.DUMMYFUNCTION("""COMPUTED_VALUE"""),"Jovani Antônio Steffani, Marisa Magali Maieski Wames e Comissão Intersetorial de Saúde do Trabalhador e da Trabalhadora (CISTT) de Joaçaba, SC")</f>
        <v>Jovani Antônio Steffani, Marisa Magali Maieski Wames e Comissão Intersetorial de Saúde do Trabalhador e da Trabalhadora (CISTT) de Joaçaba, SC</v>
      </c>
      <c r="C365" s="24" t="str">
        <f>IFERROR(__xludf.DUMMYFUNCTION("""COMPUTED_VALUE"""),"Joaçaba")</f>
        <v>Joaçaba</v>
      </c>
      <c r="D365" s="24" t="str">
        <f>IFERROR(__xludf.DUMMYFUNCTION("""COMPUTED_VALUE"""),"Unoesc")</f>
        <v>Unoesc</v>
      </c>
      <c r="E365" s="25">
        <f>IFERROR(__xludf.DUMMYFUNCTION("""COMPUTED_VALUE"""),2017.0)</f>
        <v>2017</v>
      </c>
      <c r="F365" s="24" t="str">
        <f>IFERROR(__xludf.DUMMYFUNCTION("""COMPUTED_VALUE"""),"Segurança do trabalho, Prevenção de acidentes")</f>
        <v>Segurança do trabalho, Prevenção de acidentes</v>
      </c>
      <c r="G365" s="28" t="str">
        <f>IFERROR(__xludf.DUMMYFUNCTION("""COMPUTED_VALUE"""),"9788584221608")</f>
        <v>9788584221608</v>
      </c>
      <c r="H365" s="29" t="str">
        <f>IFERROR(__xludf.DUMMYFUNCTION("""COMPUTED_VALUE"""),"https://www.unoesc.edu.br/images/uploads/editora/o_trabalho_intersetorial_que.pdf")</f>
        <v>https://www.unoesc.edu.br/images/uploads/editora/o_trabalho_intersetorial_que.pdf</v>
      </c>
      <c r="I365" s="24" t="str">
        <f>IFERROR(__xludf.DUMMYFUNCTION("""COMPUTED_VALUE"""),"Ciências Sociais Aplicadas")</f>
        <v>Ciências Sociais Aplicadas</v>
      </c>
    </row>
    <row r="366">
      <c r="A366" s="24" t="str">
        <f>IFERROR(__xludf.DUMMYFUNCTION("""COMPUTED_VALUE"""),"Observações de jornalista. vol. 2")</f>
        <v>Observações de jornalista. vol. 2</v>
      </c>
      <c r="B366" s="24" t="str">
        <f>IFERROR(__xludf.DUMMYFUNCTION("""COMPUTED_VALUE"""),"Guidotti, Gabriel Bocorny")</f>
        <v>Guidotti, Gabriel Bocorny</v>
      </c>
      <c r="C366" s="24" t="str">
        <f>IFERROR(__xludf.DUMMYFUNCTION("""COMPUTED_VALUE"""),"Porto Alegre, RS")</f>
        <v>Porto Alegre, RS</v>
      </c>
      <c r="D366" s="24" t="str">
        <f>IFERROR(__xludf.DUMMYFUNCTION("""COMPUTED_VALUE"""),"Editora Universitária Metodista")</f>
        <v>Editora Universitária Metodista</v>
      </c>
      <c r="E366" s="25">
        <f>IFERROR(__xludf.DUMMYFUNCTION("""COMPUTED_VALUE"""),2016.0)</f>
        <v>2016</v>
      </c>
      <c r="F366" s="24" t="str">
        <f>IFERROR(__xludf.DUMMYFUNCTION("""COMPUTED_VALUE"""),"Jornalismo. Comunicação. Perfil Profissional")</f>
        <v>Jornalismo. Comunicação. Perfil Profissional</v>
      </c>
      <c r="G366" s="28" t="str">
        <f>IFERROR(__xludf.DUMMYFUNCTION("""COMPUTED_VALUE"""),"9788599738443")</f>
        <v>9788599738443</v>
      </c>
      <c r="H366" s="29" t="str">
        <f>IFERROR(__xludf.DUMMYFUNCTION("""COMPUTED_VALUE"""),"http://editora.metodista.br/livros-gratis/observacoesdejornalistas1-11-2016.pdf/at_download/file")</f>
        <v>http://editora.metodista.br/livros-gratis/observacoesdejornalistas1-11-2016.pdf/at_download/file</v>
      </c>
      <c r="I366" s="24" t="str">
        <f>IFERROR(__xludf.DUMMYFUNCTION("""COMPUTED_VALUE"""),"Ciências Sociais Aplicadas")</f>
        <v>Ciências Sociais Aplicadas</v>
      </c>
    </row>
    <row r="367">
      <c r="A367" s="24" t="str">
        <f>IFERROR(__xludf.DUMMYFUNCTION("""COMPUTED_VALUE"""),"On fundamental social rights: a protectionist and democratic perspective")</f>
        <v>On fundamental social rights: a protectionist and democratic perspective</v>
      </c>
      <c r="B367" s="24" t="str">
        <f>IFERROR(__xludf.DUMMYFUNCTION("""COMPUTED_VALUE"""),"Rodrigo Garcia Schwarz")</f>
        <v>Rodrigo Garcia Schwarz</v>
      </c>
      <c r="C367" s="24" t="str">
        <f>IFERROR(__xludf.DUMMYFUNCTION("""COMPUTED_VALUE"""),"Joaçaba")</f>
        <v>Joaçaba</v>
      </c>
      <c r="D367" s="24" t="str">
        <f>IFERROR(__xludf.DUMMYFUNCTION("""COMPUTED_VALUE"""),"Unoesc")</f>
        <v>Unoesc</v>
      </c>
      <c r="E367" s="25">
        <f>IFERROR(__xludf.DUMMYFUNCTION("""COMPUTED_VALUE"""),2018.0)</f>
        <v>2018</v>
      </c>
      <c r="F367" s="24" t="str">
        <f>IFERROR(__xludf.DUMMYFUNCTION("""COMPUTED_VALUE"""),"Direitos fundamentais, Legislação social")</f>
        <v>Direitos fundamentais, Legislação social</v>
      </c>
      <c r="G367" s="28" t="str">
        <f>IFERROR(__xludf.DUMMYFUNCTION("""COMPUTED_VALUE"""),"9788584221806")</f>
        <v>9788584221806</v>
      </c>
      <c r="H367" s="29" t="str">
        <f>IFERROR(__xludf.DUMMYFUNCTION("""COMPUTED_VALUE"""),"https://www.unoesc.edu.br/images/uploads/editora/Miolo_Rodrigo.pdf")</f>
        <v>https://www.unoesc.edu.br/images/uploads/editora/Miolo_Rodrigo.pdf</v>
      </c>
      <c r="I367" s="24" t="str">
        <f>IFERROR(__xludf.DUMMYFUNCTION("""COMPUTED_VALUE"""),"Ciências Sociais Aplicadas")</f>
        <v>Ciências Sociais Aplicadas</v>
      </c>
    </row>
    <row r="368">
      <c r="A368" s="24" t="str">
        <f>IFERROR(__xludf.DUMMYFUNCTION("""COMPUTED_VALUE"""),"Opiniões de acadêmicos brasileiros sobre a China")</f>
        <v>Opiniões de acadêmicos brasileiros sobre a China</v>
      </c>
      <c r="B368" s="24" t="str">
        <f>IFERROR(__xludf.DUMMYFUNCTION("""COMPUTED_VALUE"""),"Tiejun, Gu")</f>
        <v>Tiejun, Gu</v>
      </c>
      <c r="C368" s="24" t="str">
        <f>IFERROR(__xludf.DUMMYFUNCTION("""COMPUTED_VALUE"""),"Porto Alegre")</f>
        <v>Porto Alegre</v>
      </c>
      <c r="D368" s="24" t="str">
        <f>IFERROR(__xludf.DUMMYFUNCTION("""COMPUTED_VALUE"""),"UFRGS")</f>
        <v>UFRGS</v>
      </c>
      <c r="E368" s="25">
        <f>IFERROR(__xludf.DUMMYFUNCTION("""COMPUTED_VALUE"""),2019.0)</f>
        <v>2019</v>
      </c>
      <c r="F368" s="24" t="str">
        <f>IFERROR(__xludf.DUMMYFUNCTION("""COMPUTED_VALUE"""),"Brasil; China; Economia; Relações bilaterais; Relações internacionais")</f>
        <v>Brasil; China; Economia; Relações bilaterais; Relações internacionais</v>
      </c>
      <c r="G368" s="28" t="str">
        <f>IFERROR(__xludf.DUMMYFUNCTION("""COMPUTED_VALUE"""),"9788538604990")</f>
        <v>9788538604990</v>
      </c>
      <c r="H368" s="29" t="str">
        <f>IFERROR(__xludf.DUMMYFUNCTION("""COMPUTED_VALUE"""),"http://hdl.handle.net/10183/213174 ")</f>
        <v>http://hdl.handle.net/10183/213174 </v>
      </c>
      <c r="I368" s="24" t="str">
        <f>IFERROR(__xludf.DUMMYFUNCTION("""COMPUTED_VALUE"""),"Ciências Sociais Aplicadas")</f>
        <v>Ciências Sociais Aplicadas</v>
      </c>
    </row>
    <row r="369">
      <c r="A369" s="24" t="str">
        <f>IFERROR(__xludf.DUMMYFUNCTION("""COMPUTED_VALUE"""),"Organização e representação da Informação e do Conhecimento: intersecções teórico-sociais (disponível temporariamente)")</f>
        <v>Organização e representação da Informação e do Conhecimento: intersecções teórico-sociais (disponível temporariamente)</v>
      </c>
      <c r="B369" s="24" t="str">
        <f>IFERROR(__xludf.DUMMYFUNCTION("""COMPUTED_VALUE"""),"Maria Elizabeth Baltar Carneiro de Albuquerque,Gracy Kelli Martins, Denysson Axel Ribeiro Mota (organizadores)")</f>
        <v>Maria Elizabeth Baltar Carneiro de Albuquerque,Gracy Kelli Martins, Denysson Axel Ribeiro Mota (organizadores)</v>
      </c>
      <c r="C369" s="24" t="str">
        <f>IFERROR(__xludf.DUMMYFUNCTION("""COMPUTED_VALUE"""),"João Pessoa")</f>
        <v>João Pessoa</v>
      </c>
      <c r="D369" s="24" t="str">
        <f>IFERROR(__xludf.DUMMYFUNCTION("""COMPUTED_VALUE"""),"Editora da UFPB")</f>
        <v>Editora da UFPB</v>
      </c>
      <c r="E369" s="25">
        <f>IFERROR(__xludf.DUMMYFUNCTION("""COMPUTED_VALUE"""),2019.0)</f>
        <v>2019</v>
      </c>
      <c r="F369" s="24" t="str">
        <f>IFERROR(__xludf.DUMMYFUNCTION("""COMPUTED_VALUE"""),". Ciência da informação; Representaçãoda informação; Representação do conhecimento; Biblioteconomia")</f>
        <v>. Ciência da informação; Representaçãoda informação; Representação do conhecimento; Biblioteconomia</v>
      </c>
      <c r="G369" s="28" t="str">
        <f>IFERROR(__xludf.DUMMYFUNCTION("""COMPUTED_VALUE"""),"9788523714161")</f>
        <v>9788523714161</v>
      </c>
      <c r="H369" s="29" t="str">
        <f>IFERROR(__xludf.DUMMYFUNCTION("""COMPUTED_VALUE"""),"http://www.editora.ufpb.br/sistema/press5/index.php/UFPB/catalog/book/355")</f>
        <v>http://www.editora.ufpb.br/sistema/press5/index.php/UFPB/catalog/book/355</v>
      </c>
      <c r="I369" s="24" t="str">
        <f>IFERROR(__xludf.DUMMYFUNCTION("""COMPUTED_VALUE"""),"Ciências Sociais Aplicadas")</f>
        <v>Ciências Sociais Aplicadas</v>
      </c>
    </row>
    <row r="370">
      <c r="A370" s="24" t="str">
        <f>IFERROR(__xludf.DUMMYFUNCTION("""COMPUTED_VALUE"""),"Os bandidos na mesa do café")</f>
        <v>Os bandidos na mesa do café</v>
      </c>
      <c r="B370" s="24" t="str">
        <f>IFERROR(__xludf.DUMMYFUNCTION("""COMPUTED_VALUE"""),"Deneval Siqueira de Azevedo Filho")</f>
        <v>Deneval Siqueira de Azevedo Filho</v>
      </c>
      <c r="C370" s="24" t="str">
        <f>IFERROR(__xludf.DUMMYFUNCTION("""COMPUTED_VALUE"""),"Vitória")</f>
        <v>Vitória</v>
      </c>
      <c r="D370" s="24" t="str">
        <f>IFERROR(__xludf.DUMMYFUNCTION("""COMPUTED_VALUE"""),"EDUFES")</f>
        <v>EDUFES</v>
      </c>
      <c r="E370" s="25">
        <f>IFERROR(__xludf.DUMMYFUNCTION("""COMPUTED_VALUE"""),2013.0)</f>
        <v>2013</v>
      </c>
      <c r="F370" s="24" t="str">
        <f>IFERROR(__xludf.DUMMYFUNCTION("""COMPUTED_VALUE"""),"Cultura de massa; Comunicação de massa; Textos")</f>
        <v>Cultura de massa; Comunicação de massa; Textos</v>
      </c>
      <c r="G370" s="28" t="str">
        <f>IFERROR(__xludf.DUMMYFUNCTION("""COMPUTED_VALUE"""),"9788577721511")</f>
        <v>9788577721511</v>
      </c>
      <c r="H370" s="29" t="str">
        <f>IFERROR(__xludf.DUMMYFUNCTION("""COMPUTED_VALUE"""),"http://repositorio.ufes.br/bitstream/10/797/1/livro%20edufes%20os%20bandidos%20na%20mesa%20do%20cafe.pdf")</f>
        <v>http://repositorio.ufes.br/bitstream/10/797/1/livro%20edufes%20os%20bandidos%20na%20mesa%20do%20cafe.pdf</v>
      </c>
      <c r="I370" s="24" t="str">
        <f>IFERROR(__xludf.DUMMYFUNCTION("""COMPUTED_VALUE"""),"Ciências Sociais Aplicadas")</f>
        <v>Ciências Sociais Aplicadas</v>
      </c>
    </row>
    <row r="371">
      <c r="A371" s="24" t="str">
        <f>IFERROR(__xludf.DUMMYFUNCTION("""COMPUTED_VALUE"""),"Os caminhos do leão: uma etnografia do processo de cobrança do imposto de renda. ")</f>
        <v>Os caminhos do leão: uma etnografia do processo de cobrança do imposto de renda. </v>
      </c>
      <c r="B371" s="24" t="str">
        <f>IFERROR(__xludf.DUMMYFUNCTION("""COMPUTED_VALUE"""),"Gabriela Maria Hilu da Rocha Pinto")</f>
        <v>Gabriela Maria Hilu da Rocha Pinto</v>
      </c>
      <c r="C371" s="24" t="str">
        <f>IFERROR(__xludf.DUMMYFUNCTION("""COMPUTED_VALUE"""),"Niterói, RJ")</f>
        <v>Niterói, RJ</v>
      </c>
      <c r="D371" s="24" t="str">
        <f>IFERROR(__xludf.DUMMYFUNCTION("""COMPUTED_VALUE"""),"EDUFF")</f>
        <v>EDUFF</v>
      </c>
      <c r="E371" s="25">
        <f>IFERROR(__xludf.DUMMYFUNCTION("""COMPUTED_VALUE"""),2006.0)</f>
        <v>2006</v>
      </c>
      <c r="F371" s="24" t="str">
        <f>IFERROR(__xludf.DUMMYFUNCTION("""COMPUTED_VALUE"""),"Imposto de renda; Processo de cobrança")</f>
        <v>Imposto de renda; Processo de cobrança</v>
      </c>
      <c r="G371" s="28" t="str">
        <f>IFERROR(__xludf.DUMMYFUNCTION("""COMPUTED_VALUE"""),"8522803900")</f>
        <v>8522803900</v>
      </c>
      <c r="H371" s="29" t="str">
        <f>IFERROR(__xludf.DUMMYFUNCTION("""COMPUTED_VALUE"""),"http://www.eduff.uff.br/ebooks/Os-caminhos-do-Leao.pdf")</f>
        <v>http://www.eduff.uff.br/ebooks/Os-caminhos-do-Leao.pdf</v>
      </c>
      <c r="I371" s="24" t="str">
        <f>IFERROR(__xludf.DUMMYFUNCTION("""COMPUTED_VALUE"""),"Ciências Sociais Aplicadas")</f>
        <v>Ciências Sociais Aplicadas</v>
      </c>
    </row>
    <row r="372">
      <c r="A372" s="24" t="str">
        <f>IFERROR(__xludf.DUMMYFUNCTION("""COMPUTED_VALUE"""),"Os confins da psicanálise e a crueldade das incertezas")</f>
        <v>Os confins da psicanálise e a crueldade das incertezas</v>
      </c>
      <c r="B372" s="24" t="str">
        <f>IFERROR(__xludf.DUMMYFUNCTION("""COMPUTED_VALUE"""),"Paulo Roberto Mattos")</f>
        <v>Paulo Roberto Mattos</v>
      </c>
      <c r="C372" s="24" t="str">
        <f>IFERROR(__xludf.DUMMYFUNCTION("""COMPUTED_VALUE"""),"Niterói, RJ")</f>
        <v>Niterói, RJ</v>
      </c>
      <c r="D372" s="24" t="str">
        <f>IFERROR(__xludf.DUMMYFUNCTION("""COMPUTED_VALUE"""),"EdUFF")</f>
        <v>EdUFF</v>
      </c>
      <c r="E372" s="25">
        <f>IFERROR(__xludf.DUMMYFUNCTION("""COMPUTED_VALUE"""),2008.0)</f>
        <v>2008</v>
      </c>
      <c r="F372" s="24" t="str">
        <f>IFERROR(__xludf.DUMMYFUNCTION("""COMPUTED_VALUE"""),"Psicanálise; Crueldade; Psicopatologia fundamental; Clínica psicanalítica; Saber psicanalítico; Psicossomática; Território analítico")</f>
        <v>Psicanálise; Crueldade; Psicopatologia fundamental; Clínica psicanalítica; Saber psicanalítico; Psicossomática; Território analítico</v>
      </c>
      <c r="G372" s="28" t="str">
        <f>IFERROR(__xludf.DUMMYFUNCTION("""COMPUTED_VALUE"""),"9788522804788 (EdUFF)")</f>
        <v>9788522804788 (EdUFF)</v>
      </c>
      <c r="H372" s="29" t="str">
        <f>IFERROR(__xludf.DUMMYFUNCTION("""COMPUTED_VALUE"""),"http://bit.ly/Os-confins-da-psicanalise")</f>
        <v>http://bit.ly/Os-confins-da-psicanalise</v>
      </c>
      <c r="I372" s="24" t="str">
        <f>IFERROR(__xludf.DUMMYFUNCTION("""COMPUTED_VALUE"""),"Ciências Sociais Aplicadas")</f>
        <v>Ciências Sociais Aplicadas</v>
      </c>
    </row>
    <row r="373">
      <c r="A373" s="24" t="str">
        <f>IFERROR(__xludf.DUMMYFUNCTION("""COMPUTED_VALUE"""),"Os debates sobre a transição: idéias e intelectuais na controvérsia sobre a origem do capitalismo")</f>
        <v>Os debates sobre a transição: idéias e intelectuais na controvérsia sobre a origem do capitalismo</v>
      </c>
      <c r="B373" s="24" t="str">
        <f>IFERROR(__xludf.DUMMYFUNCTION("""COMPUTED_VALUE"""),"Daniel de Pinho Barreiros")</f>
        <v>Daniel de Pinho Barreiros</v>
      </c>
      <c r="C373" s="24" t="str">
        <f>IFERROR(__xludf.DUMMYFUNCTION("""COMPUTED_VALUE"""),"Niterói, RJ")</f>
        <v>Niterói, RJ</v>
      </c>
      <c r="D373" s="24" t="str">
        <f>IFERROR(__xludf.DUMMYFUNCTION("""COMPUTED_VALUE"""),"EdUFF")</f>
        <v>EdUFF</v>
      </c>
      <c r="E373" s="25">
        <f>IFERROR(__xludf.DUMMYFUNCTION("""COMPUTED_VALUE"""),2008.0)</f>
        <v>2008</v>
      </c>
      <c r="F373" s="24" t="str">
        <f>IFERROR(__xludf.DUMMYFUNCTION("""COMPUTED_VALUE"""),"Economia; História das idéias econômicas")</f>
        <v>Economia; História das idéias econômicas</v>
      </c>
      <c r="G373" s="28" t="str">
        <f>IFERROR(__xludf.DUMMYFUNCTION("""COMPUTED_VALUE"""),"9788522804771")</f>
        <v>9788522804771</v>
      </c>
      <c r="H373" s="29" t="str">
        <f>IFERROR(__xludf.DUMMYFUNCTION("""COMPUTED_VALUE"""),"http://www.eduff.uff.br/ebooks/Os-debates-sobre-a-transicao.pdf")</f>
        <v>http://www.eduff.uff.br/ebooks/Os-debates-sobre-a-transicao.pdf</v>
      </c>
      <c r="I373" s="24" t="str">
        <f>IFERROR(__xludf.DUMMYFUNCTION("""COMPUTED_VALUE"""),"Ciências Sociais Aplicadas")</f>
        <v>Ciências Sociais Aplicadas</v>
      </c>
    </row>
    <row r="374">
      <c r="A374" s="24" t="str">
        <f>IFERROR(__xludf.DUMMYFUNCTION("""COMPUTED_VALUE"""),"Os direitos educacionais das crianças e dos adolescentes adoentados: orientações para escolas, famílias e hospitais")</f>
        <v>Os direitos educacionais das crianças e dos adolescentes adoentados: orientações para escolas, famílias e hospitais</v>
      </c>
      <c r="B374" s="24" t="str">
        <f>IFERROR(__xludf.DUMMYFUNCTION("""COMPUTED_VALUE"""),"Altemir José Gonçalves Barbosa, Lúcia Castro Britto, Thaís Ferreira Soares, Ana Caroline Toledo Mostaro, Isabela Andrade de Oliveira Fernandes")</f>
        <v>Altemir José Gonçalves Barbosa, Lúcia Castro Britto, Thaís Ferreira Soares, Ana Caroline Toledo Mostaro, Isabela Andrade de Oliveira Fernandes</v>
      </c>
      <c r="C374" s="24" t="str">
        <f>IFERROR(__xludf.DUMMYFUNCTION("""COMPUTED_VALUE"""),"Juiz de Fora")</f>
        <v>Juiz de Fora</v>
      </c>
      <c r="D374" s="24" t="str">
        <f>IFERROR(__xludf.DUMMYFUNCTION("""COMPUTED_VALUE"""),"Editora UFJF")</f>
        <v>Editora UFJF</v>
      </c>
      <c r="E374" s="25">
        <f>IFERROR(__xludf.DUMMYFUNCTION("""COMPUTED_VALUE"""),2012.0)</f>
        <v>2012</v>
      </c>
      <c r="F374" s="24" t="str">
        <f>IFERROR(__xludf.DUMMYFUNCTION("""COMPUTED_VALUE"""),"Direitos da criança, Direitos do adolescente, Hospitalização, Doença")</f>
        <v>Direitos da criança, Direitos do adolescente, Hospitalização, Doença</v>
      </c>
      <c r="G374" s="28" t="str">
        <f>IFERROR(__xludf.DUMMYFUNCTION("""COMPUTED_VALUE"""),"9788576721345")</f>
        <v>9788576721345</v>
      </c>
      <c r="H374" s="29" t="str">
        <f>IFERROR(__xludf.DUMMYFUNCTION("""COMPUTED_VALUE"""),"http://www2.ufjf.br/editora/wp-content/uploads/sites/113/2018/02/os_direitos_educacionais_das_criancas_e_dos_adolescentes_adoentados.pdf")</f>
        <v>http://www2.ufjf.br/editora/wp-content/uploads/sites/113/2018/02/os_direitos_educacionais_das_criancas_e_dos_adolescentes_adoentados.pdf</v>
      </c>
      <c r="I374" s="24" t="str">
        <f>IFERROR(__xludf.DUMMYFUNCTION("""COMPUTED_VALUE"""),"Ciências Sociais Aplicadas")</f>
        <v>Ciências Sociais Aplicadas</v>
      </c>
    </row>
    <row r="375">
      <c r="A375" s="24" t="str">
        <f>IFERROR(__xludf.DUMMYFUNCTION("""COMPUTED_VALUE"""),"Os direitos fundamentais sociais na democracia contemporânea: desafios de efetivação e o papel do poder judiciário")</f>
        <v>Os direitos fundamentais sociais na democracia contemporânea: desafios de efetivação e o papel do poder judiciário</v>
      </c>
      <c r="B375" s="24" t="str">
        <f>IFERROR(__xludf.DUMMYFUNCTION("""COMPUTED_VALUE"""),"Daniela Regina Riboli")</f>
        <v>Daniela Regina Riboli</v>
      </c>
      <c r="C375" s="24" t="str">
        <f>IFERROR(__xludf.DUMMYFUNCTION("""COMPUTED_VALUE"""),"Joaçaba")</f>
        <v>Joaçaba</v>
      </c>
      <c r="D375" s="24" t="str">
        <f>IFERROR(__xludf.DUMMYFUNCTION("""COMPUTED_VALUE"""),"Unoesc")</f>
        <v>Unoesc</v>
      </c>
      <c r="E375" s="25">
        <f>IFERROR(__xludf.DUMMYFUNCTION("""COMPUTED_VALUE"""),2017.0)</f>
        <v>2017</v>
      </c>
      <c r="F375" s="24" t="str">
        <f>IFERROR(__xludf.DUMMYFUNCTION("""COMPUTED_VALUE"""),"Direitos fundamentais, Poder judiciário")</f>
        <v>Direitos fundamentais, Poder judiciário</v>
      </c>
      <c r="G375" s="28" t="str">
        <f>IFERROR(__xludf.DUMMYFUNCTION("""COMPUTED_VALUE"""),"9788584220984")</f>
        <v>9788584220984</v>
      </c>
      <c r="H375" s="29" t="str">
        <f>IFERROR(__xludf.DUMMYFUNCTION("""COMPUTED_VALUE"""),"https://www.unoesc.edu.br/images/uploads/editora/direitos_fundamentais_sociais_na_democracia.pdf")</f>
        <v>https://www.unoesc.edu.br/images/uploads/editora/direitos_fundamentais_sociais_na_democracia.pdf</v>
      </c>
      <c r="I375" s="24" t="str">
        <f>IFERROR(__xludf.DUMMYFUNCTION("""COMPUTED_VALUE"""),"Ciências Sociais Aplicadas")</f>
        <v>Ciências Sociais Aplicadas</v>
      </c>
    </row>
    <row r="376">
      <c r="A376" s="24" t="str">
        <f>IFERROR(__xludf.DUMMYFUNCTION("""COMPUTED_VALUE"""),"Os distintos olhares do Plano Diretor de Desenvolvimento Urbano e Ambiental de Macapá – 2004 ")</f>
        <v>Os distintos olhares do Plano Diretor de Desenvolvimento Urbano e Ambiental de Macapá – 2004 </v>
      </c>
      <c r="B376" s="24" t="str">
        <f>IFERROR(__xludf.DUMMYFUNCTION("""COMPUTED_VALUE"""),"José Alberto Tostes (org.)")</f>
        <v>José Alberto Tostes (org.)</v>
      </c>
      <c r="C376" s="24" t="str">
        <f>IFERROR(__xludf.DUMMYFUNCTION("""COMPUTED_VALUE"""),"Macapá")</f>
        <v>Macapá</v>
      </c>
      <c r="D376" s="24" t="str">
        <f>IFERROR(__xludf.DUMMYFUNCTION("""COMPUTED_VALUE"""),"UNIFAP")</f>
        <v>UNIFAP</v>
      </c>
      <c r="E376" s="25">
        <f>IFERROR(__xludf.DUMMYFUNCTION("""COMPUTED_VALUE"""),2020.0)</f>
        <v>2020</v>
      </c>
      <c r="F376" s="24" t="str">
        <f>IFERROR(__xludf.DUMMYFUNCTION("""COMPUTED_VALUE"""),"Planejamento Urbano; Plano Diretor; Município de Macapá")</f>
        <v>Planejamento Urbano; Plano Diretor; Município de Macapá</v>
      </c>
      <c r="G376" s="28" t="str">
        <f>IFERROR(__xludf.DUMMYFUNCTION("""COMPUTED_VALUE"""),"9786599186202")</f>
        <v>9786599186202</v>
      </c>
      <c r="H376" s="29" t="str">
        <f>IFERROR(__xludf.DUMMYFUNCTION("""COMPUTED_VALUE"""),"https://www2.unifap.br/editora/files/2020/08/distintos-olhares-do-pdduam.pdf")</f>
        <v>https://www2.unifap.br/editora/files/2020/08/distintos-olhares-do-pdduam.pdf</v>
      </c>
      <c r="I376" s="24" t="str">
        <f>IFERROR(__xludf.DUMMYFUNCTION("""COMPUTED_VALUE"""),"Ciências Sociais Aplicadas")</f>
        <v>Ciências Sociais Aplicadas</v>
      </c>
    </row>
    <row r="377">
      <c r="A377" s="24" t="str">
        <f>IFERROR(__xludf.DUMMYFUNCTION("""COMPUTED_VALUE"""),"Os dois lados da moeda: a sobrevivência e mortalidade dos negócios")</f>
        <v>Os dois lados da moeda: a sobrevivência e mortalidade dos negócios</v>
      </c>
      <c r="B377" s="24" t="str">
        <f>IFERROR(__xludf.DUMMYFUNCTION("""COMPUTED_VALUE"""),"Eva Maria Campos")</f>
        <v>Eva Maria Campos</v>
      </c>
      <c r="C377" s="24" t="str">
        <f>IFERROR(__xludf.DUMMYFUNCTION("""COMPUTED_VALUE"""),"João Pessoa")</f>
        <v>João Pessoa</v>
      </c>
      <c r="D377" s="24" t="str">
        <f>IFERROR(__xludf.DUMMYFUNCTION("""COMPUTED_VALUE"""),"Editora IFPB")</f>
        <v>Editora IFPB</v>
      </c>
      <c r="E377" s="25">
        <f>IFERROR(__xludf.DUMMYFUNCTION("""COMPUTED_VALUE"""),2016.0)</f>
        <v>2016</v>
      </c>
      <c r="F377" s="24" t="str">
        <f>IFERROR(__xludf.DUMMYFUNCTION("""COMPUTED_VALUE"""),"Estudos empreendedorísticos; Administração; Negócios")</f>
        <v>Estudos empreendedorísticos; Administração; Negócios</v>
      </c>
      <c r="G377" s="28" t="str">
        <f>IFERROR(__xludf.DUMMYFUNCTION("""COMPUTED_VALUE"""),"9788563406644")</f>
        <v>9788563406644</v>
      </c>
      <c r="H377" s="29" t="str">
        <f>IFERROR(__xludf.DUMMYFUNCTION("""COMPUTED_VALUE"""),"http://editora.ifpb.edu.br/index.php/ifpb/catalog/book/68")</f>
        <v>http://editora.ifpb.edu.br/index.php/ifpb/catalog/book/68</v>
      </c>
      <c r="I377" s="24" t="str">
        <f>IFERROR(__xludf.DUMMYFUNCTION("""COMPUTED_VALUE"""),"Ciências Sociais Aplicadas")</f>
        <v>Ciências Sociais Aplicadas</v>
      </c>
    </row>
    <row r="378">
      <c r="A378" s="24" t="str">
        <f>IFERROR(__xludf.DUMMYFUNCTION("""COMPUTED_VALUE"""),"Os projetos pedagógicos dos cursos de direito da UFSC e da Unoesc e a formação multicultural")</f>
        <v>Os projetos pedagógicos dos cursos de direito da UFSC e da Unoesc e a formação multicultural</v>
      </c>
      <c r="B378" s="24" t="str">
        <f>IFERROR(__xludf.DUMMYFUNCTION("""COMPUTED_VALUE"""),"Alexandra Vanessa Klein Perico")</f>
        <v>Alexandra Vanessa Klein Perico</v>
      </c>
      <c r="C378" s="24" t="str">
        <f>IFERROR(__xludf.DUMMYFUNCTION("""COMPUTED_VALUE"""),"Joaçaba")</f>
        <v>Joaçaba</v>
      </c>
      <c r="D378" s="24" t="str">
        <f>IFERROR(__xludf.DUMMYFUNCTION("""COMPUTED_VALUE"""),"Unoesc")</f>
        <v>Unoesc</v>
      </c>
      <c r="E378" s="25">
        <f>IFERROR(__xludf.DUMMYFUNCTION("""COMPUTED_VALUE"""),2017.0)</f>
        <v>2017</v>
      </c>
      <c r="F378" s="24" t="str">
        <f>IFERROR(__xludf.DUMMYFUNCTION("""COMPUTED_VALUE"""),"Direito - Currículos, Educação multicultural")</f>
        <v>Direito - Currículos, Educação multicultural</v>
      </c>
      <c r="G378" s="28" t="str">
        <f>IFERROR(__xludf.DUMMYFUNCTION("""COMPUTED_VALUE"""),"9788584220977")</f>
        <v>9788584220977</v>
      </c>
      <c r="H378" s="29" t="str">
        <f>IFERROR(__xludf.DUMMYFUNCTION("""COMPUTED_VALUE"""),"https://www.unoesc.edu.br/images/uploads/editora/Os_projetos_pedagogicos_dos_cursos_de_direito.pdf")</f>
        <v>https://www.unoesc.edu.br/images/uploads/editora/Os_projetos_pedagogicos_dos_cursos_de_direito.pdf</v>
      </c>
      <c r="I378" s="24" t="str">
        <f>IFERROR(__xludf.DUMMYFUNCTION("""COMPUTED_VALUE"""),"Ciências Sociais Aplicadas")</f>
        <v>Ciências Sociais Aplicadas</v>
      </c>
    </row>
    <row r="379">
      <c r="A379" s="24" t="str">
        <f>IFERROR(__xludf.DUMMYFUNCTION("""COMPUTED_VALUE"""),"Paisagem, espaço e sustentabilidades: uma perspectiva multidimensional da geografia")</f>
        <v>Paisagem, espaço e sustentabilidades: uma perspectiva multidimensional da geografia</v>
      </c>
      <c r="B379" s="24" t="str">
        <f>IFERROR(__xludf.DUMMYFUNCTION("""COMPUTED_VALUE"""),"ORGANIZAÇÃO: JOÃO RUA")</f>
        <v>ORGANIZAÇÃO: JOÃO RUA</v>
      </c>
      <c r="C379" s="24" t="str">
        <f>IFERROR(__xludf.DUMMYFUNCTION("""COMPUTED_VALUE"""),"Rio de Janeiro")</f>
        <v>Rio de Janeiro</v>
      </c>
      <c r="D379" s="24" t="str">
        <f>IFERROR(__xludf.DUMMYFUNCTION("""COMPUTED_VALUE"""),"Editora PUC Rio")</f>
        <v>Editora PUC Rio</v>
      </c>
      <c r="E379" s="25">
        <f>IFERROR(__xludf.DUMMYFUNCTION("""COMPUTED_VALUE"""),2007.0)</f>
        <v>2007</v>
      </c>
      <c r="F379" s="24" t="str">
        <f>IFERROR(__xludf.DUMMYFUNCTION("""COMPUTED_VALUE"""),"Geografia. Proteção ambiental. Planejamento urbano. Homem – Influência sobre a natureza")</f>
        <v>Geografia. Proteção ambiental. Planejamento urbano. Homem – Influência sobre a natureza</v>
      </c>
      <c r="G379" s="28" t="str">
        <f>IFERROR(__xludf.DUMMYFUNCTION("""COMPUTED_VALUE"""),"9788587926234")</f>
        <v>9788587926234</v>
      </c>
      <c r="H379" s="29" t="str">
        <f>IFERROR(__xludf.DUMMYFUNCTION("""COMPUTED_VALUE"""),"http://www.editora.puc-rio.br/media/ebook_paisagem_espaco_e_sustentabilidade.pdf")</f>
        <v>http://www.editora.puc-rio.br/media/ebook_paisagem_espaco_e_sustentabilidade.pdf</v>
      </c>
      <c r="I379" s="24" t="str">
        <f>IFERROR(__xludf.DUMMYFUNCTION("""COMPUTED_VALUE"""),"Ciências Sociais Aplicadas")</f>
        <v>Ciências Sociais Aplicadas</v>
      </c>
    </row>
    <row r="380">
      <c r="A380" s="24" t="str">
        <f>IFERROR(__xludf.DUMMYFUNCTION("""COMPUTED_VALUE"""),"Panorama das bibliotecas da Rede Federal de Educação Profissional, Científica e Tecnológica: um olhar sobre a gestão")</f>
        <v>Panorama das bibliotecas da Rede Federal de Educação Profissional, Científica e Tecnológica: um olhar sobre a gestão</v>
      </c>
      <c r="B380" s="24" t="str">
        <f>IFERROR(__xludf.DUMMYFUNCTION("""COMPUTED_VALUE"""),"Caroline da Rosa Ferreira Becker, Marouva Fallgatter Faqueti")</f>
        <v>Caroline da Rosa Ferreira Becker, Marouva Fallgatter Faqueti</v>
      </c>
      <c r="C380" s="24" t="str">
        <f>IFERROR(__xludf.DUMMYFUNCTION("""COMPUTED_VALUE"""),"Blumenau")</f>
        <v>Blumenau</v>
      </c>
      <c r="D380" s="24" t="str">
        <f>IFERROR(__xludf.DUMMYFUNCTION("""COMPUTED_VALUE"""),"Instituto Federal Catarinense")</f>
        <v>Instituto Federal Catarinense</v>
      </c>
      <c r="E380" s="25">
        <f>IFERROR(__xludf.DUMMYFUNCTION("""COMPUTED_VALUE"""),2015.0)</f>
        <v>2015</v>
      </c>
      <c r="F380" s="24" t="str">
        <f>IFERROR(__xludf.DUMMYFUNCTION("""COMPUTED_VALUE"""),"Bibliotecas – Administração. Serviços de informação. Bibliotecários")</f>
        <v>Bibliotecas – Administração. Serviços de informação. Bibliotecários</v>
      </c>
      <c r="G380" s="28" t="str">
        <f>IFERROR(__xludf.DUMMYFUNCTION("""COMPUTED_VALUE"""),"9788568261071")</f>
        <v>9788568261071</v>
      </c>
      <c r="H380" s="29" t="str">
        <f>IFERROR(__xludf.DUMMYFUNCTION("""COMPUTED_VALUE"""),"https://editora.ifc.edu.br/2017/06/27/panorama-das-bibliotecas-da-rede-federal-de-educacao-profissional-cientifica-e-tecnologica-um-olhar-sobre-a-gestao/")</f>
        <v>https://editora.ifc.edu.br/2017/06/27/panorama-das-bibliotecas-da-rede-federal-de-educacao-profissional-cientifica-e-tecnologica-um-olhar-sobre-a-gestao/</v>
      </c>
      <c r="I380" s="24" t="str">
        <f>IFERROR(__xludf.DUMMYFUNCTION("""COMPUTED_VALUE"""),"Ciências Sociais Aplicadas")</f>
        <v>Ciências Sociais Aplicadas</v>
      </c>
    </row>
    <row r="381">
      <c r="A381" s="24" t="str">
        <f>IFERROR(__xludf.DUMMYFUNCTION("""COMPUTED_VALUE"""),"Parir com amor: relatos de mães e profissionais que lutam por partos humanizados no Amapá")</f>
        <v>Parir com amor: relatos de mães e profissionais que lutam por partos humanizados no Amapá</v>
      </c>
      <c r="B381" s="24" t="str">
        <f>IFERROR(__xludf.DUMMYFUNCTION("""COMPUTED_VALUE"""),"Beatriz Soutelo &amp; Clícia Carmo ")</f>
        <v>Beatriz Soutelo &amp; Clícia Carmo </v>
      </c>
      <c r="C381" s="24" t="str">
        <f>IFERROR(__xludf.DUMMYFUNCTION("""COMPUTED_VALUE"""),"Macapá")</f>
        <v>Macapá</v>
      </c>
      <c r="D381" s="24" t="str">
        <f>IFERROR(__xludf.DUMMYFUNCTION("""COMPUTED_VALUE"""),"UNIFAP")</f>
        <v>UNIFAP</v>
      </c>
      <c r="E381" s="25">
        <f>IFERROR(__xludf.DUMMYFUNCTION("""COMPUTED_VALUE"""),2018.0)</f>
        <v>2018</v>
      </c>
      <c r="F381" s="24" t="str">
        <f>IFERROR(__xludf.DUMMYFUNCTION("""COMPUTED_VALUE"""),"Jornalismo; Livro-Reportagem; Parto Humanizado; Amapá (Estado)")</f>
        <v>Jornalismo; Livro-Reportagem; Parto Humanizado; Amapá (Estado)</v>
      </c>
      <c r="G381" s="28" t="str">
        <f>IFERROR(__xludf.DUMMYFUNCTION("""COMPUTED_VALUE"""),"9788554760267")</f>
        <v>9788554760267</v>
      </c>
      <c r="H381" s="29" t="str">
        <f>IFERROR(__xludf.DUMMYFUNCTION("""COMPUTED_VALUE"""),"https://www2.unifap.br/editora/files/2018/12/Parir-com-amor.pdf")</f>
        <v>https://www2.unifap.br/editora/files/2018/12/Parir-com-amor.pdf</v>
      </c>
      <c r="I381" s="24" t="str">
        <f>IFERROR(__xludf.DUMMYFUNCTION("""COMPUTED_VALUE"""),"Ciências Sociais Aplicadas")</f>
        <v>Ciências Sociais Aplicadas</v>
      </c>
    </row>
    <row r="382">
      <c r="A382" s="24" t="str">
        <f>IFERROR(__xludf.DUMMYFUNCTION("""COMPUTED_VALUE"""),"Participação política, internet e competências infocomunicacionais: evidências a partir de organizações da sociedade civil de Salvador")</f>
        <v>Participação política, internet e competências infocomunicacionais: evidências a partir de organizações da sociedade civil de Salvador</v>
      </c>
      <c r="B382" s="24" t="str">
        <f>IFERROR(__xludf.DUMMYFUNCTION("""COMPUTED_VALUE"""),"Jussara Borges")</f>
        <v>Jussara Borges</v>
      </c>
      <c r="C382" s="24" t="str">
        <f>IFERROR(__xludf.DUMMYFUNCTION("""COMPUTED_VALUE"""),"Salvador")</f>
        <v>Salvador</v>
      </c>
      <c r="D382" s="24" t="str">
        <f>IFERROR(__xludf.DUMMYFUNCTION("""COMPUTED_VALUE"""),"EDUFBA")</f>
        <v>EDUFBA</v>
      </c>
      <c r="E382" s="25">
        <f>IFERROR(__xludf.DUMMYFUNCTION("""COMPUTED_VALUE"""),2013.0)</f>
        <v>2013</v>
      </c>
      <c r="F382" s="24" t="str">
        <f>IFERROR(__xludf.DUMMYFUNCTION("""COMPUTED_VALUE"""),"Comunicação de massa; Participação política; Internet; Competência em informação")</f>
        <v>Comunicação de massa; Participação política; Internet; Competência em informação</v>
      </c>
      <c r="G382" s="28" t="str">
        <f>IFERROR(__xludf.DUMMYFUNCTION("""COMPUTED_VALUE"""),"9788523210977")</f>
        <v>9788523210977</v>
      </c>
      <c r="H382" s="29" t="str">
        <f>IFERROR(__xludf.DUMMYFUNCTION("""COMPUTED_VALUE"""),"http://www.repositorio.ufba.br/ri/handle/ri/12637")</f>
        <v>http://www.repositorio.ufba.br/ri/handle/ri/12637</v>
      </c>
      <c r="I382" s="24" t="str">
        <f>IFERROR(__xludf.DUMMYFUNCTION("""COMPUTED_VALUE"""),"Ciências Sociais Aplicadas")</f>
        <v>Ciências Sociais Aplicadas</v>
      </c>
    </row>
    <row r="383">
      <c r="A383" s="24" t="str">
        <f>IFERROR(__xludf.DUMMYFUNCTION("""COMPUTED_VALUE"""),"Participação social no desenvolvimento de políticas públicas no estado do Amapá: um olhar sobre a elaboração e execução do plano plurianual de Macapá-AP no período de 2013 a 2016")</f>
        <v>Participação social no desenvolvimento de políticas públicas no estado do Amapá: um olhar sobre a elaboração e execução do plano plurianual de Macapá-AP no período de 2013 a 2016</v>
      </c>
      <c r="B383" s="24" t="str">
        <f>IFERROR(__xludf.DUMMYFUNCTION("""COMPUTED_VALUE"""),"Alexandre Gomes Galindo")</f>
        <v>Alexandre Gomes Galindo</v>
      </c>
      <c r="C383" s="24" t="str">
        <f>IFERROR(__xludf.DUMMYFUNCTION("""COMPUTED_VALUE"""),"Macapá")</f>
        <v>Macapá</v>
      </c>
      <c r="D383" s="24" t="str">
        <f>IFERROR(__xludf.DUMMYFUNCTION("""COMPUTED_VALUE"""),"UNIFAP")</f>
        <v>UNIFAP</v>
      </c>
      <c r="E383" s="25">
        <f>IFERROR(__xludf.DUMMYFUNCTION("""COMPUTED_VALUE"""),2017.0)</f>
        <v>2017</v>
      </c>
      <c r="F383" s="24" t="str">
        <f>IFERROR(__xludf.DUMMYFUNCTION("""COMPUTED_VALUE"""),"Sociologia em Pesquisas &amp; Teses")</f>
        <v>Sociologia em Pesquisas &amp; Teses</v>
      </c>
      <c r="G383" s="28" t="str">
        <f>IFERROR(__xludf.DUMMYFUNCTION("""COMPUTED_VALUE"""),"9788554760014")</f>
        <v>9788554760014</v>
      </c>
      <c r="H383" s="29" t="str">
        <f>IFERROR(__xludf.DUMMYFUNCTION("""COMPUTED_VALUE"""),"https://www2.unifap.br/editora/files/2014/12/GALINDO-Alexandre-Gomes.-Participa%c3%a7%c3%a3o-social-no-desenvolvimento-de-pol%c3%adticas-p%c3%bablicas-no-estado-do-Amap%c3%a1-um-olhar-sobre-a-elabora%c3%a7%c3%a3o-e-execu%c3%a7%c3%a3o-do-plano-plurianual-d"&amp;"e-Macap%c3%a1-AP-no-per%c3%adodo-de-2013-a-2016.-Macap%c3%a1-UNIFAP-2017.pdf")</f>
        <v>https://www2.unifap.br/editora/files/2014/12/GALINDO-Alexandre-Gomes.-Participa%c3%a7%c3%a3o-social-no-desenvolvimento-de-pol%c3%adticas-p%c3%bablicas-no-estado-do-Amap%c3%a1-um-olhar-sobre-a-elabora%c3%a7%c3%a3o-e-execu%c3%a7%c3%a3o-do-plano-plurianual-de-Macap%c3%a1-AP-no-per%c3%adodo-de-2013-a-2016.-Macap%c3%a1-UNIFAP-2017.pdf</v>
      </c>
      <c r="I383" s="24" t="str">
        <f>IFERROR(__xludf.DUMMYFUNCTION("""COMPUTED_VALUE"""),"Ciências Sociais Aplicadas")</f>
        <v>Ciências Sociais Aplicadas</v>
      </c>
    </row>
    <row r="384">
      <c r="A384" s="24" t="str">
        <f>IFERROR(__xludf.DUMMYFUNCTION("""COMPUTED_VALUE"""),"Patrimônio afetivo e fotografia: a memória de idosos asilados")</f>
        <v>Patrimônio afetivo e fotografia: a memória de idosos asilados</v>
      </c>
      <c r="B384" s="24" t="str">
        <f>IFERROR(__xludf.DUMMYFUNCTION("""COMPUTED_VALUE"""),"Bezerra, Daniele Borges")</f>
        <v>Bezerra, Daniele Borges</v>
      </c>
      <c r="C384" s="24" t="str">
        <f>IFERROR(__xludf.DUMMYFUNCTION("""COMPUTED_VALUE"""),"Pelotas")</f>
        <v>Pelotas</v>
      </c>
      <c r="D384" s="24" t="str">
        <f>IFERROR(__xludf.DUMMYFUNCTION("""COMPUTED_VALUE"""),"UFPel")</f>
        <v>UFPel</v>
      </c>
      <c r="E384" s="25">
        <f>IFERROR(__xludf.DUMMYFUNCTION("""COMPUTED_VALUE"""),2017.0)</f>
        <v>2017</v>
      </c>
      <c r="F384" s="24" t="str">
        <f>IFERROR(__xludf.DUMMYFUNCTION("""COMPUTED_VALUE"""),"Memória; Fotografia; Patrimônio afetivo; Idosos; Asilo")</f>
        <v>Memória; Fotografia; Patrimônio afetivo; Idosos; Asilo</v>
      </c>
      <c r="G384" s="28" t="str">
        <f>IFERROR(__xludf.DUMMYFUNCTION("""COMPUTED_VALUE"""),"9788571929623")</f>
        <v>9788571929623</v>
      </c>
      <c r="H384" s="29" t="str">
        <f>IFERROR(__xludf.DUMMYFUNCTION("""COMPUTED_VALUE"""),"http://repositorio.ufpel.edu.br:8080/bitstream/prefix/3806/1/13_PATRIM%c3%94NIO%20AFETIVO%20E%20FOTOGRAFIA_S%c3%89RIE%20P%c3%93S%20GRADUA%c3%87%c3%83O.pdf")</f>
        <v>http://repositorio.ufpel.edu.br:8080/bitstream/prefix/3806/1/13_PATRIM%c3%94NIO%20AFETIVO%20E%20FOTOGRAFIA_S%c3%89RIE%20P%c3%93S%20GRADUA%c3%87%c3%83O.pdf</v>
      </c>
      <c r="I384" s="24" t="str">
        <f>IFERROR(__xludf.DUMMYFUNCTION("""COMPUTED_VALUE"""),"Ciências Sociais Aplicadas")</f>
        <v>Ciências Sociais Aplicadas</v>
      </c>
    </row>
    <row r="385">
      <c r="A385" s="24" t="str">
        <f>IFERROR(__xludf.DUMMYFUNCTION("""COMPUTED_VALUE"""),"Patrimônio, informação e memória: tríade para construção e fortalecimento identitário (disponível temporariamente)")</f>
        <v>Patrimônio, informação e memória: tríade para construção e fortalecimento identitário (disponível temporariamente)</v>
      </c>
      <c r="B385" s="24" t="str">
        <f>IFERROR(__xludf.DUMMYFUNCTION("""COMPUTED_VALUE"""),"Bernardina M. J. Freire de Oliveira, Maria Nilza Barbosa Rosa, Nayana Rodrigues Cordeiro Mariano, Ana Cláudia Cruz Córdula, organizadoras")</f>
        <v>Bernardina M. J. Freire de Oliveira, Maria Nilza Barbosa Rosa, Nayana Rodrigues Cordeiro Mariano, Ana Cláudia Cruz Córdula, organizadoras</v>
      </c>
      <c r="C385" s="24" t="str">
        <f>IFERROR(__xludf.DUMMYFUNCTION("""COMPUTED_VALUE"""),"João Pessoa")</f>
        <v>João Pessoa</v>
      </c>
      <c r="D385" s="24" t="str">
        <f>IFERROR(__xludf.DUMMYFUNCTION("""COMPUTED_VALUE"""),"Editora da UFPB")</f>
        <v>Editora da UFPB</v>
      </c>
      <c r="E385" s="25">
        <f>IFERROR(__xludf.DUMMYFUNCTION("""COMPUTED_VALUE"""),2019.0)</f>
        <v>2019</v>
      </c>
      <c r="F385" s="24" t="str">
        <f>IFERROR(__xludf.DUMMYFUNCTION("""COMPUTED_VALUE"""),"Memória; Patrimônio cultural; Informação e memória")</f>
        <v>Memória; Patrimônio cultural; Informação e memória</v>
      </c>
      <c r="G385" s="28" t="str">
        <f>IFERROR(__xludf.DUMMYFUNCTION("""COMPUTED_VALUE"""),"9788523714666")</f>
        <v>9788523714666</v>
      </c>
      <c r="H385" s="29" t="str">
        <f>IFERROR(__xludf.DUMMYFUNCTION("""COMPUTED_VALUE"""),"http://www.editora.ufpb.br/sistema/press5/index.php/UFPB/catalog/book/364")</f>
        <v>http://www.editora.ufpb.br/sistema/press5/index.php/UFPB/catalog/book/364</v>
      </c>
      <c r="I385" s="24" t="str">
        <f>IFERROR(__xludf.DUMMYFUNCTION("""COMPUTED_VALUE"""),"Ciências Sociais Aplicadas")</f>
        <v>Ciências Sociais Aplicadas</v>
      </c>
    </row>
    <row r="386">
      <c r="A386" s="24" t="str">
        <f>IFERROR(__xludf.DUMMYFUNCTION("""COMPUTED_VALUE"""),"Pensando filosoficamente os direitos humanos fundamentais III")</f>
        <v>Pensando filosoficamente os direitos humanos fundamentais III</v>
      </c>
      <c r="B386" s="24" t="str">
        <f>IFERROR(__xludf.DUMMYFUNCTION("""COMPUTED_VALUE"""),"Robison Tramontina, Grazieli Ana Paula Schmitz, Luís Renato Martins de Almeida")</f>
        <v>Robison Tramontina, Grazieli Ana Paula Schmitz, Luís Renato Martins de Almeida</v>
      </c>
      <c r="C386" s="24" t="str">
        <f>IFERROR(__xludf.DUMMYFUNCTION("""COMPUTED_VALUE"""),"Joaçaba")</f>
        <v>Joaçaba</v>
      </c>
      <c r="D386" s="24" t="str">
        <f>IFERROR(__xludf.DUMMYFUNCTION("""COMPUTED_VALUE"""),"Unoesc")</f>
        <v>Unoesc</v>
      </c>
      <c r="E386" s="25">
        <f>IFERROR(__xludf.DUMMYFUNCTION("""COMPUTED_VALUE"""),2018.0)</f>
        <v>2018</v>
      </c>
      <c r="F386" s="24" t="str">
        <f>IFERROR(__xludf.DUMMYFUNCTION("""COMPUTED_VALUE"""),"Direitos fundamentais, Direitos humanos")</f>
        <v>Direitos fundamentais, Direitos humanos</v>
      </c>
      <c r="G386" s="28" t="str">
        <f>IFERROR(__xludf.DUMMYFUNCTION("""COMPUTED_VALUE"""),"9788584221882")</f>
        <v>9788584221882</v>
      </c>
      <c r="H386" s="29" t="str">
        <f>IFERROR(__xludf.DUMMYFUNCTION("""COMPUTED_VALUE"""),"https://www.unoesc.edu.br/images/uploads/editora/Miolo_Pensando_filosoficamente_3.pdf")</f>
        <v>https://www.unoesc.edu.br/images/uploads/editora/Miolo_Pensando_filosoficamente_3.pdf</v>
      </c>
      <c r="I386" s="24" t="str">
        <f>IFERROR(__xludf.DUMMYFUNCTION("""COMPUTED_VALUE"""),"Ciências Sociais Aplicadas")</f>
        <v>Ciências Sociais Aplicadas</v>
      </c>
    </row>
    <row r="387">
      <c r="A387" s="24" t="str">
        <f>IFERROR(__xludf.DUMMYFUNCTION("""COMPUTED_VALUE"""),"Perspectivas Ativas no Turismo: entre a teoria e a prática")</f>
        <v>Perspectivas Ativas no Turismo: entre a teoria e a prática</v>
      </c>
      <c r="B387" s="24" t="str">
        <f>IFERROR(__xludf.DUMMYFUNCTION("""COMPUTED_VALUE"""),"Rodrigo Burkowski; Everaldo Batista da Costa")</f>
        <v>Rodrigo Burkowski; Everaldo Batista da Costa</v>
      </c>
      <c r="C387" s="24" t="str">
        <f>IFERROR(__xludf.DUMMYFUNCTION("""COMPUTED_VALUE"""),"Ouro Preto")</f>
        <v>Ouro Preto</v>
      </c>
      <c r="D387" s="24" t="str">
        <f>IFERROR(__xludf.DUMMYFUNCTION("""COMPUTED_VALUE"""),"UFOP")</f>
        <v>UFOP</v>
      </c>
      <c r="E387" s="25">
        <f>IFERROR(__xludf.DUMMYFUNCTION("""COMPUTED_VALUE"""),2018.0)</f>
        <v>2018</v>
      </c>
      <c r="F387" s="24" t="str">
        <f>IFERROR(__xludf.DUMMYFUNCTION("""COMPUTED_VALUE"""),"Turismo – Ouro Preto (MG). Patrimônio cultural – Ouro Preto (MG). Cultura")</f>
        <v>Turismo – Ouro Preto (MG). Patrimônio cultural – Ouro Preto (MG). Cultura</v>
      </c>
      <c r="G387" s="28" t="str">
        <f>IFERROR(__xludf.DUMMYFUNCTION("""COMPUTED_VALUE"""),"9788528803600")</f>
        <v>9788528803600</v>
      </c>
      <c r="H387" s="29" t="str">
        <f>IFERROR(__xludf.DUMMYFUNCTION("""COMPUTED_VALUE"""),"https://www.editora.ufop.br/index.php/editora/catalog/view/144/114/375-1")</f>
        <v>https://www.editora.ufop.br/index.php/editora/catalog/view/144/114/375-1</v>
      </c>
      <c r="I387" s="24" t="str">
        <f>IFERROR(__xludf.DUMMYFUNCTION("""COMPUTED_VALUE"""),"Ciências Sociais Aplicadas")</f>
        <v>Ciências Sociais Aplicadas</v>
      </c>
    </row>
    <row r="388">
      <c r="A388" s="24" t="str">
        <f>IFERROR(__xludf.DUMMYFUNCTION("""COMPUTED_VALUE"""),"Perspectivas contemporâneas em administração e comércio exterior")</f>
        <v>Perspectivas contemporâneas em administração e comércio exterior</v>
      </c>
      <c r="B388" s="24" t="str">
        <f>IFERROR(__xludf.DUMMYFUNCTION("""COMPUTED_VALUE"""),"Zilli, Júlio Cesar; Vieira, Adriana Carvalho Pinto; Souza, Izabel Regina de; Abel, Jucélia da Silva")</f>
        <v>Zilli, Júlio Cesar; Vieira, Adriana Carvalho Pinto; Souza, Izabel Regina de; Abel, Jucélia da Silva</v>
      </c>
      <c r="C388" s="24" t="str">
        <f>IFERROR(__xludf.DUMMYFUNCTION("""COMPUTED_VALUE"""),"Criciúma")</f>
        <v>Criciúma</v>
      </c>
      <c r="D388" s="24" t="str">
        <f>IFERROR(__xludf.DUMMYFUNCTION("""COMPUTED_VALUE"""),"UNESC")</f>
        <v>UNESC</v>
      </c>
      <c r="E388" s="25">
        <f>IFERROR(__xludf.DUMMYFUNCTION("""COMPUTED_VALUE"""),2017.0)</f>
        <v>2017</v>
      </c>
      <c r="F388" s="24" t="str">
        <f>IFERROR(__xludf.DUMMYFUNCTION("""COMPUTED_VALUE"""),"Terceirização; Clientes - Fidelização; Endomarketing; Stakeholder; Despacho aduaneiro; Agronegócio; Empreendedorismo; Administração de pessoal; Gestão do conhecimento")</f>
        <v>Terceirização; Clientes - Fidelização; Endomarketing; Stakeholder; Despacho aduaneiro; Agronegócio; Empreendedorismo; Administração de pessoal; Gestão do conhecimento</v>
      </c>
      <c r="G388" s="28" t="str">
        <f>IFERROR(__xludf.DUMMYFUNCTION("""COMPUTED_VALUE"""),"9788584100811")</f>
        <v>9788584100811</v>
      </c>
      <c r="H388" s="29" t="str">
        <f>IFERROR(__xludf.DUMMYFUNCTION("""COMPUTED_VALUE"""),"http://dx.doi.org/10.18616/pers")</f>
        <v>http://dx.doi.org/10.18616/pers</v>
      </c>
      <c r="I388" s="24" t="str">
        <f>IFERROR(__xludf.DUMMYFUNCTION("""COMPUTED_VALUE"""),"Ciências Sociais Aplicadas")</f>
        <v>Ciências Sociais Aplicadas</v>
      </c>
    </row>
    <row r="389">
      <c r="A389" s="24" t="str">
        <f>IFERROR(__xludf.DUMMYFUNCTION("""COMPUTED_VALUE"""),"Perspectivas contemporâneas em administração e comércio exterior")</f>
        <v>Perspectivas contemporâneas em administração e comércio exterior</v>
      </c>
      <c r="B389" s="24" t="str">
        <f>IFERROR(__xludf.DUMMYFUNCTION("""COMPUTED_VALUE"""),"Zilli, Júlio Cesar; Vieira, Adriana Carvalho Pinto; Souza, Izabel Regina de; Abel, Jucélia da Silva")</f>
        <v>Zilli, Júlio Cesar; Vieira, Adriana Carvalho Pinto; Souza, Izabel Regina de; Abel, Jucélia da Silva</v>
      </c>
      <c r="C389" s="24" t="str">
        <f>IFERROR(__xludf.DUMMYFUNCTION("""COMPUTED_VALUE"""),"Criciúma")</f>
        <v>Criciúma</v>
      </c>
      <c r="D389" s="24" t="str">
        <f>IFERROR(__xludf.DUMMYFUNCTION("""COMPUTED_VALUE"""),"EDIUNESC")</f>
        <v>EDIUNESC</v>
      </c>
      <c r="E389" s="25">
        <f>IFERROR(__xludf.DUMMYFUNCTION("""COMPUTED_VALUE"""),2017.0)</f>
        <v>2017</v>
      </c>
      <c r="F389" s="24" t="str">
        <f>IFERROR(__xludf.DUMMYFUNCTION("""COMPUTED_VALUE"""),"Terceirização; Clientes - Fidelização; Endomarketing; Stakeholder; Despacho aduaneiro; Agronegócio; Empreendedorismo; Administração de pessoal; Gestão do conhecimento")</f>
        <v>Terceirização; Clientes - Fidelização; Endomarketing; Stakeholder; Despacho aduaneiro; Agronegócio; Empreendedorismo; Administração de pessoal; Gestão do conhecimento</v>
      </c>
      <c r="G389" s="28" t="str">
        <f>IFERROR(__xludf.DUMMYFUNCTION("""COMPUTED_VALUE"""),"9788584100811")</f>
        <v>9788584100811</v>
      </c>
      <c r="H389" s="29" t="str">
        <f>IFERROR(__xludf.DUMMYFUNCTION("""COMPUTED_VALUE"""),"http://dx.doi.org/10.18616/pers")</f>
        <v>http://dx.doi.org/10.18616/pers</v>
      </c>
      <c r="I389" s="24" t="str">
        <f>IFERROR(__xludf.DUMMYFUNCTION("""COMPUTED_VALUE"""),"Ciências Sociais Aplicadas")</f>
        <v>Ciências Sociais Aplicadas</v>
      </c>
    </row>
    <row r="390">
      <c r="A390" s="24" t="str">
        <f>IFERROR(__xludf.DUMMYFUNCTION("""COMPUTED_VALUE"""),"Pesquisa Em Arquivologia : Fronteiras E Perspectivas Epistemológicas")</f>
        <v>Pesquisa Em Arquivologia : Fronteiras E Perspectivas Epistemológicas</v>
      </c>
      <c r="B390" s="24" t="str">
        <f>IFERROR(__xludf.DUMMYFUNCTION("""COMPUTED_VALUE"""),"Eliete Correia dos Santos (org.)")</f>
        <v>Eliete Correia dos Santos (org.)</v>
      </c>
      <c r="C390" s="24" t="str">
        <f>IFERROR(__xludf.DUMMYFUNCTION("""COMPUTED_VALUE"""),"Campina Grande")</f>
        <v>Campina Grande</v>
      </c>
      <c r="D390" s="24" t="str">
        <f>IFERROR(__xludf.DUMMYFUNCTION("""COMPUTED_VALUE"""),"EDUEPB")</f>
        <v>EDUEPB</v>
      </c>
      <c r="E390" s="25">
        <f>IFERROR(__xludf.DUMMYFUNCTION("""COMPUTED_VALUE"""),2017.0)</f>
        <v>2017</v>
      </c>
      <c r="F390" s="24" t="str">
        <f>IFERROR(__xludf.DUMMYFUNCTION("""COMPUTED_VALUE"""),"Arquivologia. Ética. Normalização acadêmicaa. Plágios")</f>
        <v>Arquivologia. Ética. Normalização acadêmicaa. Plágios</v>
      </c>
      <c r="G390" s="28" t="str">
        <f>IFERROR(__xludf.DUMMYFUNCTION("""COMPUTED_VALUE"""),"9788578794583")</f>
        <v>9788578794583</v>
      </c>
      <c r="H390" s="29" t="str">
        <f>IFERROR(__xludf.DUMMYFUNCTION("""COMPUTED_VALUE"""),"http://eduepb.uepb.edu.br/download/pesquisa-em-arquivologia-fronteiras-e-perspectivas-epistemologicas/?wpdmdl=208&amp;amp;masterkey=5af99feb25759")</f>
        <v>http://eduepb.uepb.edu.br/download/pesquisa-em-arquivologia-fronteiras-e-perspectivas-epistemologicas/?wpdmdl=208&amp;amp;masterkey=5af99feb25759</v>
      </c>
      <c r="I390" s="24" t="str">
        <f>IFERROR(__xludf.DUMMYFUNCTION("""COMPUTED_VALUE"""),"Ciências Sociais Aplicadas")</f>
        <v>Ciências Sociais Aplicadas</v>
      </c>
    </row>
    <row r="391">
      <c r="A391" s="24" t="str">
        <f>IFERROR(__xludf.DUMMYFUNCTION("""COMPUTED_VALUE"""),"Piauilismo: por trás da criação")</f>
        <v>Piauilismo: por trás da criação</v>
      </c>
      <c r="B391" s="24" t="str">
        <f>IFERROR(__xludf.DUMMYFUNCTION("""COMPUTED_VALUE"""),"Ascânio W. de Carvalho; Francisca Danielle A. Souza (org.)")</f>
        <v>Ascânio W. de Carvalho; Francisca Danielle A. Souza (org.)</v>
      </c>
      <c r="C391" s="24" t="str">
        <f>IFERROR(__xludf.DUMMYFUNCTION("""COMPUTED_VALUE"""),"Teresina")</f>
        <v>Teresina</v>
      </c>
      <c r="D391" s="24" t="str">
        <f>IFERROR(__xludf.DUMMYFUNCTION("""COMPUTED_VALUE"""),"EDUFPI")</f>
        <v>EDUFPI</v>
      </c>
      <c r="E391" s="25">
        <f>IFERROR(__xludf.DUMMYFUNCTION("""COMPUTED_VALUE"""),2019.0)</f>
        <v>2019</v>
      </c>
      <c r="F391" s="24" t="str">
        <f>IFERROR(__xludf.DUMMYFUNCTION("""COMPUTED_VALUE"""),"Moda; Criação; Piauilinismo Fashion Day")</f>
        <v>Moda; Criação; Piauilinismo Fashion Day</v>
      </c>
      <c r="G391" s="28" t="str">
        <f>IFERROR(__xludf.DUMMYFUNCTION("""COMPUTED_VALUE"""),"97885509045121")</f>
        <v>97885509045121</v>
      </c>
      <c r="H391" s="29" t="str">
        <f>IFERROR(__xludf.DUMMYFUNCTION("""COMPUTED_VALUE"""),"https://www.ufpi.br/arquivos_download/arquivos/EDUFPI/Ebook_Piauilismo_por_tr%C3%A1s_da_cria%C3%A7%C3%A3o20190523164755.pdf")</f>
        <v>https://www.ufpi.br/arquivos_download/arquivos/EDUFPI/Ebook_Piauilismo_por_tr%C3%A1s_da_cria%C3%A7%C3%A3o20190523164755.pdf</v>
      </c>
      <c r="I391" s="24" t="str">
        <f>IFERROR(__xludf.DUMMYFUNCTION("""COMPUTED_VALUE"""),"Ciências Sociais Aplicadas")</f>
        <v>Ciências Sociais Aplicadas</v>
      </c>
    </row>
    <row r="392">
      <c r="A392" s="24" t="str">
        <f>IFERROR(__xludf.DUMMYFUNCTION("""COMPUTED_VALUE"""),"Planejamento das Instalações Empresariais")</f>
        <v>Planejamento das Instalações Empresariais</v>
      </c>
      <c r="B392" s="24" t="str">
        <f>IFERROR(__xludf.DUMMYFUNCTION("""COMPUTED_VALUE"""),"Antonio de Melo Villar, Claudino Lins Nóbrega Júnior")</f>
        <v>Antonio de Melo Villar, Claudino Lins Nóbrega Júnior</v>
      </c>
      <c r="C392" s="24" t="str">
        <f>IFERROR(__xludf.DUMMYFUNCTION("""COMPUTED_VALUE"""),"João Pessoa")</f>
        <v>João Pessoa</v>
      </c>
      <c r="D392" s="24" t="str">
        <f>IFERROR(__xludf.DUMMYFUNCTION("""COMPUTED_VALUE"""),"Editora da UFPB")</f>
        <v>Editora da UFPB</v>
      </c>
      <c r="E392" s="25">
        <f>IFERROR(__xludf.DUMMYFUNCTION("""COMPUTED_VALUE"""),2014.0)</f>
        <v>2014</v>
      </c>
      <c r="F392" s="24" t="str">
        <f>IFERROR(__xludf.DUMMYFUNCTION("""COMPUTED_VALUE"""),"Engenharia industrial; Instalações industriais; Projetos industriais; Armazenamento")</f>
        <v>Engenharia industrial; Instalações industriais; Projetos industriais; Armazenamento</v>
      </c>
      <c r="G392" s="28" t="str">
        <f>IFERROR(__xludf.DUMMYFUNCTION("""COMPUTED_VALUE"""),"9788523708887")</f>
        <v>9788523708887</v>
      </c>
      <c r="H392" s="29" t="str">
        <f>IFERROR(__xludf.DUMMYFUNCTION("""COMPUTED_VALUE"""),"http://www.editora.ufpb.br/sistema/press5/index.php/UFPB/catalog/book/548")</f>
        <v>http://www.editora.ufpb.br/sistema/press5/index.php/UFPB/catalog/book/548</v>
      </c>
      <c r="I392" s="24" t="str">
        <f>IFERROR(__xludf.DUMMYFUNCTION("""COMPUTED_VALUE"""),"Ciências Sociais Aplicadas")</f>
        <v>Ciências Sociais Aplicadas</v>
      </c>
    </row>
    <row r="393">
      <c r="A393" s="24" t="str">
        <f>IFERROR(__xludf.DUMMYFUNCTION("""COMPUTED_VALUE"""),"Planejamento e gestão territorial: a sustentabilidade dos ecossistemas urbanos")</f>
        <v>Planejamento e gestão territorial: a sustentabilidade dos ecossistemas urbanos</v>
      </c>
      <c r="B393" s="24" t="str">
        <f>IFERROR(__xludf.DUMMYFUNCTION("""COMPUTED_VALUE"""),"Ladwig, Nilzo Ivo; Schwalm, Hugo")</f>
        <v>Ladwig, Nilzo Ivo; Schwalm, Hugo</v>
      </c>
      <c r="C393" s="24" t="str">
        <f>IFERROR(__xludf.DUMMYFUNCTION("""COMPUTED_VALUE"""),"Criciúma")</f>
        <v>Criciúma</v>
      </c>
      <c r="D393" s="24" t="str">
        <f>IFERROR(__xludf.DUMMYFUNCTION("""COMPUTED_VALUE"""),"EDIUNESC")</f>
        <v>EDIUNESC</v>
      </c>
      <c r="E393" s="25">
        <f>IFERROR(__xludf.DUMMYFUNCTION("""COMPUTED_VALUE"""),2018.0)</f>
        <v>2018</v>
      </c>
      <c r="F393" s="24" t="str">
        <f>IFERROR(__xludf.DUMMYFUNCTION("""COMPUTED_VALUE"""),"Planejamento urbano; Planejamento territorial; Desenvolvimento urbano sustentável; Paisagem urbana; Arquitetura urbana; Resíduos sólidos urbanos; Direito à cidade; Proteção ambiental")</f>
        <v>Planejamento urbano; Planejamento territorial; Desenvolvimento urbano sustentável; Paisagem urbana; Arquitetura urbana; Resíduos sólidos urbanos; Direito à cidade; Proteção ambiental</v>
      </c>
      <c r="G393" s="28" t="str">
        <f>IFERROR(__xludf.DUMMYFUNCTION("""COMPUTED_VALUE"""),"9788584100958")</f>
        <v>9788584100958</v>
      </c>
      <c r="H393" s="29" t="str">
        <f>IFERROR(__xludf.DUMMYFUNCTION("""COMPUTED_VALUE"""),"http://dx.doi.org/10.18616/pgt")</f>
        <v>http://dx.doi.org/10.18616/pgt</v>
      </c>
      <c r="I393" s="24" t="str">
        <f>IFERROR(__xludf.DUMMYFUNCTION("""COMPUTED_VALUE"""),"Ciências Sociais Aplicadas")</f>
        <v>Ciências Sociais Aplicadas</v>
      </c>
    </row>
    <row r="394">
      <c r="A394" s="24" t="str">
        <f>IFERROR(__xludf.DUMMYFUNCTION("""COMPUTED_VALUE"""),"Planejamento e gestão territorial: gestão integrada do território")</f>
        <v>Planejamento e gestão territorial: gestão integrada do território</v>
      </c>
      <c r="B394" s="24" t="str">
        <f>IFERROR(__xludf.DUMMYFUNCTION("""COMPUTED_VALUE"""),"Ladwig, Nilzo Ivo; Schwalm, Hugo")</f>
        <v>Ladwig, Nilzo Ivo; Schwalm, Hugo</v>
      </c>
      <c r="C394" s="24" t="str">
        <f>IFERROR(__xludf.DUMMYFUNCTION("""COMPUTED_VALUE"""),"Criciúma")</f>
        <v>Criciúma</v>
      </c>
      <c r="D394" s="24" t="str">
        <f>IFERROR(__xludf.DUMMYFUNCTION("""COMPUTED_VALUE"""),"UNESC")</f>
        <v>UNESC</v>
      </c>
      <c r="E394" s="25">
        <f>IFERROR(__xludf.DUMMYFUNCTION("""COMPUTED_VALUE"""),2017.0)</f>
        <v>2017</v>
      </c>
      <c r="F394" s="24" t="str">
        <f>IFERROR(__xludf.DUMMYFUNCTION("""COMPUTED_VALUE"""),"Planejamento urbano; Planejamento territorial; Proteção ambiental; Ordenamento territorial; Licenciamento ambiental; Impacto ambiental")</f>
        <v>Planejamento urbano; Planejamento territorial; Proteção ambiental; Ordenamento territorial; Licenciamento ambiental; Impacto ambiental</v>
      </c>
      <c r="G394" s="28" t="str">
        <f>IFERROR(__xludf.DUMMYFUNCTION("""COMPUTED_VALUE"""),"9788584100767")</f>
        <v>9788584100767</v>
      </c>
      <c r="H394" s="29" t="str">
        <f>IFERROR(__xludf.DUMMYFUNCTION("""COMPUTED_VALUE"""),"http://dx.doi.org/10.18616/plan")</f>
        <v>http://dx.doi.org/10.18616/plan</v>
      </c>
      <c r="I394" s="24" t="str">
        <f>IFERROR(__xludf.DUMMYFUNCTION("""COMPUTED_VALUE"""),"Ciências Sociais Aplicadas")</f>
        <v>Ciências Sociais Aplicadas</v>
      </c>
    </row>
    <row r="395">
      <c r="A395" s="24" t="str">
        <f>IFERROR(__xludf.DUMMYFUNCTION("""COMPUTED_VALUE"""),"Planejamento e gestão territorial: o papel e os instrumentos do planejamento territorial na interface entre o urbano e o rural")</f>
        <v>Planejamento e gestão territorial: o papel e os instrumentos do planejamento territorial na interface entre o urbano e o rural</v>
      </c>
      <c r="B395" s="24" t="str">
        <f>IFERROR(__xludf.DUMMYFUNCTION("""COMPUTED_VALUE"""),"Ladwig, Nilzo Ivo; Campos, Juliano Bitencourt")</f>
        <v>Ladwig, Nilzo Ivo; Campos, Juliano Bitencourt</v>
      </c>
      <c r="C395" s="24" t="str">
        <f>IFERROR(__xludf.DUMMYFUNCTION("""COMPUTED_VALUE"""),"Criciúma")</f>
        <v>Criciúma</v>
      </c>
      <c r="D395" s="24" t="str">
        <f>IFERROR(__xludf.DUMMYFUNCTION("""COMPUTED_VALUE"""),"UNESC")</f>
        <v>UNESC</v>
      </c>
      <c r="E395" s="25">
        <f>IFERROR(__xludf.DUMMYFUNCTION("""COMPUTED_VALUE"""),2019.0)</f>
        <v>2019</v>
      </c>
      <c r="F395" s="24" t="str">
        <f>IFERROR(__xludf.DUMMYFUNCTION("""COMPUTED_VALUE"""),"Planejamento urbano; Planejamento territorial; Desenvolvimento urbano sustentável; Paisagem urbana; Política urbana; Educação ambiental; Resíduos sólidos urbanos; Proteção ambiental; Patrimônio natural")</f>
        <v>Planejamento urbano; Planejamento territorial; Desenvolvimento urbano sustentável; Paisagem urbana; Política urbana; Educação ambiental; Resíduos sólidos urbanos; Proteção ambiental; Patrimônio natural</v>
      </c>
      <c r="G395" s="28" t="str">
        <f>IFERROR(__xludf.DUMMYFUNCTION("""COMPUTED_VALUE"""),"9788584101085")</f>
        <v>9788584101085</v>
      </c>
      <c r="H395" s="29" t="str">
        <f>IFERROR(__xludf.DUMMYFUNCTION("""COMPUTED_VALUE"""),"https://doi.org/10.18616/pgtur")</f>
        <v>https://doi.org/10.18616/pgtur</v>
      </c>
      <c r="I395" s="24" t="str">
        <f>IFERROR(__xludf.DUMMYFUNCTION("""COMPUTED_VALUE"""),"Ciências Sociais Aplicadas")</f>
        <v>Ciências Sociais Aplicadas</v>
      </c>
    </row>
    <row r="396">
      <c r="A396" s="24" t="str">
        <f>IFERROR(__xludf.DUMMYFUNCTION("""COMPUTED_VALUE"""),"Planejamento Estratégico Municipal: Agenda 21 de Piracicaba")</f>
        <v>Planejamento Estratégico Municipal: Agenda 21 de Piracicaba</v>
      </c>
      <c r="B396" s="24" t="str">
        <f>IFERROR(__xludf.DUMMYFUNCTION("""COMPUTED_VALUE"""),"Antonio Carlos Giuliani; Nadia Kassouf Pizzinatto (org.)")</f>
        <v>Antonio Carlos Giuliani; Nadia Kassouf Pizzinatto (org.)</v>
      </c>
      <c r="C396" s="24" t="str">
        <f>IFERROR(__xludf.DUMMYFUNCTION("""COMPUTED_VALUE"""),"Piracicaba, SP")</f>
        <v>Piracicaba, SP</v>
      </c>
      <c r="D396" s="24" t="str">
        <f>IFERROR(__xludf.DUMMYFUNCTION("""COMPUTED_VALUE"""),"UNIMEP")</f>
        <v>UNIMEP</v>
      </c>
      <c r="E396" s="25">
        <f>IFERROR(__xludf.DUMMYFUNCTION("""COMPUTED_VALUE"""),2015.0)</f>
        <v>2015</v>
      </c>
      <c r="F396" s="24" t="str">
        <f>IFERROR(__xludf.DUMMYFUNCTION("""COMPUTED_VALUE"""),"Planejamento urbano")</f>
        <v>Planejamento urbano</v>
      </c>
      <c r="G396" s="28" t="str">
        <f>IFERROR(__xludf.DUMMYFUNCTION("""COMPUTED_VALUE"""),"9788585541767")</f>
        <v>9788585541767</v>
      </c>
      <c r="H396" s="29" t="str">
        <f>IFERROR(__xludf.DUMMYFUNCTION("""COMPUTED_VALUE"""),"http://editora.metodista.br/livros-gratis/agenda21depiracicaba.pdf/at_download/file")</f>
        <v>http://editora.metodista.br/livros-gratis/agenda21depiracicaba.pdf/at_download/file</v>
      </c>
      <c r="I396" s="24" t="str">
        <f>IFERROR(__xludf.DUMMYFUNCTION("""COMPUTED_VALUE"""),"Ciências Sociais Aplicadas")</f>
        <v>Ciências Sociais Aplicadas</v>
      </c>
    </row>
    <row r="397">
      <c r="A397" s="24" t="str">
        <f>IFERROR(__xludf.DUMMYFUNCTION("""COMPUTED_VALUE"""),"Planejamento urbano regional no estado do Amapá")</f>
        <v>Planejamento urbano regional no estado do Amapá</v>
      </c>
      <c r="B397" s="24" t="str">
        <f>IFERROR(__xludf.DUMMYFUNCTION("""COMPUTED_VALUE"""),"José Alberto Tostes (org.)")</f>
        <v>José Alberto Tostes (org.)</v>
      </c>
      <c r="C397" s="24" t="str">
        <f>IFERROR(__xludf.DUMMYFUNCTION("""COMPUTED_VALUE"""),"Macapá")</f>
        <v>Macapá</v>
      </c>
      <c r="D397" s="24" t="str">
        <f>IFERROR(__xludf.DUMMYFUNCTION("""COMPUTED_VALUE"""),"UNIFAP")</f>
        <v>UNIFAP</v>
      </c>
      <c r="E397" s="25">
        <f>IFERROR(__xludf.DUMMYFUNCTION("""COMPUTED_VALUE"""),2018.0)</f>
        <v>2018</v>
      </c>
      <c r="F397" s="24" t="str">
        <f>IFERROR(__xludf.DUMMYFUNCTION("""COMPUTED_VALUE"""),"Planejamento urbano regional; Amapá; Cidades")</f>
        <v>Planejamento urbano regional; Amapá; Cidades</v>
      </c>
      <c r="G397" s="28" t="str">
        <f>IFERROR(__xludf.DUMMYFUNCTION("""COMPUTED_VALUE"""),"9788554760519")</f>
        <v>9788554760519</v>
      </c>
      <c r="H397" s="29" t="str">
        <f>IFERROR(__xludf.DUMMYFUNCTION("""COMPUTED_VALUE"""),"https://www2.unifap.br/editora/files/2018/12/Planejamento-Urbano-Regional-no-Estado-do-Amapa3.pdf")</f>
        <v>https://www2.unifap.br/editora/files/2018/12/Planejamento-Urbano-Regional-no-Estado-do-Amapa3.pdf</v>
      </c>
      <c r="I397" s="24" t="str">
        <f>IFERROR(__xludf.DUMMYFUNCTION("""COMPUTED_VALUE"""),"Ciências Sociais Aplicadas")</f>
        <v>Ciências Sociais Aplicadas</v>
      </c>
    </row>
    <row r="398">
      <c r="A398" s="24" t="str">
        <f>IFERROR(__xludf.DUMMYFUNCTION("""COMPUTED_VALUE"""),"Plano de negócios")</f>
        <v>Plano de negócios</v>
      </c>
      <c r="B398" s="24" t="str">
        <f>IFERROR(__xludf.DUMMYFUNCTION("""COMPUTED_VALUE"""),"Cláudia Fabiana Gohr, Luciano Costa Santo")</f>
        <v>Cláudia Fabiana Gohr, Luciano Costa Santo</v>
      </c>
      <c r="C398" s="24" t="str">
        <f>IFERROR(__xludf.DUMMYFUNCTION("""COMPUTED_VALUE"""),"Dourados, MS")</f>
        <v>Dourados, MS</v>
      </c>
      <c r="D398" s="24" t="str">
        <f>IFERROR(__xludf.DUMMYFUNCTION("""COMPUTED_VALUE"""),"Ed. da UFGD")</f>
        <v>Ed. da UFGD</v>
      </c>
      <c r="E398" s="25">
        <f>IFERROR(__xludf.DUMMYFUNCTION("""COMPUTED_VALUE"""),2010.0)</f>
        <v>2010</v>
      </c>
      <c r="F398" s="24" t="str">
        <f>IFERROR(__xludf.DUMMYFUNCTION("""COMPUTED_VALUE"""),"Planejamento empresarial; Administração de empresas – Projetos")</f>
        <v>Planejamento empresarial; Administração de empresas – Projetos</v>
      </c>
      <c r="G398" s="28" t="str">
        <f>IFERROR(__xludf.DUMMYFUNCTION("""COMPUTED_VALUE"""),"9788561228637")</f>
        <v>9788561228637</v>
      </c>
      <c r="H398" s="29" t="str">
        <f>IFERROR(__xludf.DUMMYFUNCTION("""COMPUTED_VALUE"""),"http://omp.ufgd.edu.br/omp/index.php/livrosabertos/catalog/view/227/113/390-2")</f>
        <v>http://omp.ufgd.edu.br/omp/index.php/livrosabertos/catalog/view/227/113/390-2</v>
      </c>
      <c r="I398" s="24" t="str">
        <f>IFERROR(__xludf.DUMMYFUNCTION("""COMPUTED_VALUE"""),"Ciências Sociais Aplicadas")</f>
        <v>Ciências Sociais Aplicadas</v>
      </c>
    </row>
    <row r="399">
      <c r="A399" s="24" t="str">
        <f>IFERROR(__xludf.DUMMYFUNCTION("""COMPUTED_VALUE"""),"Política científica e tecnológica no Brasil no governo Fernando Henrique Cardoso (1999-2002). ")</f>
        <v>Política científica e tecnológica no Brasil no governo Fernando Henrique Cardoso (1999-2002). </v>
      </c>
      <c r="B399" s="24" t="str">
        <f>IFERROR(__xludf.DUMMYFUNCTION("""COMPUTED_VALUE"""),"Paulo Gomes Lima")</f>
        <v>Paulo Gomes Lima</v>
      </c>
      <c r="C399" s="24" t="str">
        <f>IFERROR(__xludf.DUMMYFUNCTION("""COMPUTED_VALUE"""),"Dourados, MS")</f>
        <v>Dourados, MS</v>
      </c>
      <c r="D399" s="24" t="str">
        <f>IFERROR(__xludf.DUMMYFUNCTION("""COMPUTED_VALUE"""),"Ed. da UFGD")</f>
        <v>Ed. da UFGD</v>
      </c>
      <c r="E399" s="25">
        <f>IFERROR(__xludf.DUMMYFUNCTION("""COMPUTED_VALUE"""),2014.0)</f>
        <v>2014</v>
      </c>
      <c r="F399" s="24" t="str">
        <f>IFERROR(__xludf.DUMMYFUNCTION("""COMPUTED_VALUE"""),"Políticas públicas de C&amp;T; Educação – ensino superior")</f>
        <v>Políticas públicas de C&amp;T; Educação – ensino superior</v>
      </c>
      <c r="G399" s="28" t="str">
        <f>IFERROR(__xludf.DUMMYFUNCTION("""COMPUTED_VALUE"""),"9788581470634")</f>
        <v>9788581470634</v>
      </c>
      <c r="H399" s="29" t="str">
        <f>IFERROR(__xludf.DUMMYFUNCTION("""COMPUTED_VALUE"""),"http://omp.ufgd.edu.br/omp/index.php/livrosabertos/catalog/view/167/178/459-1")</f>
        <v>http://omp.ufgd.edu.br/omp/index.php/livrosabertos/catalog/view/167/178/459-1</v>
      </c>
      <c r="I399" s="24" t="str">
        <f>IFERROR(__xludf.DUMMYFUNCTION("""COMPUTED_VALUE"""),"Ciências Sociais Aplicadas")</f>
        <v>Ciências Sociais Aplicadas</v>
      </c>
    </row>
    <row r="400">
      <c r="A400" s="24" t="str">
        <f>IFERROR(__xludf.DUMMYFUNCTION("""COMPUTED_VALUE"""),"Política e planejamento em cultura e turismo")</f>
        <v>Política e planejamento em cultura e turismo</v>
      </c>
      <c r="B400" s="24" t="str">
        <f>IFERROR(__xludf.DUMMYFUNCTION("""COMPUTED_VALUE"""),"Marco Aurélio Avila (org.) ")</f>
        <v>Marco Aurélio Avila (org.) </v>
      </c>
      <c r="C400" s="24" t="str">
        <f>IFERROR(__xludf.DUMMYFUNCTION("""COMPUTED_VALUE"""),"Ilhéus, BA")</f>
        <v>Ilhéus, BA</v>
      </c>
      <c r="D400" s="24" t="str">
        <f>IFERROR(__xludf.DUMMYFUNCTION("""COMPUTED_VALUE"""),"Editus")</f>
        <v>Editus</v>
      </c>
      <c r="E400" s="25">
        <f>IFERROR(__xludf.DUMMYFUNCTION("""COMPUTED_VALUE"""),2009.0)</f>
        <v>2009</v>
      </c>
      <c r="F400" s="24" t="str">
        <f>IFERROR(__xludf.DUMMYFUNCTION("""COMPUTED_VALUE"""),"Turismo e cultura – Coletânea; Turismo – Planejamento; Turismo – Política governamental – Brasil")</f>
        <v>Turismo e cultura – Coletânea; Turismo – Planejamento; Turismo – Política governamental – Brasil</v>
      </c>
      <c r="G400" s="28" t="str">
        <f>IFERROR(__xludf.DUMMYFUNCTION("""COMPUTED_VALUE"""),"9788574551692")</f>
        <v>9788574551692</v>
      </c>
      <c r="H400" s="29" t="str">
        <f>IFERROR(__xludf.DUMMYFUNCTION("""COMPUTED_VALUE"""),"http://www.uesc.br/editora/livrosdigitais2015/politica_e_planejamento.pdf")</f>
        <v>http://www.uesc.br/editora/livrosdigitais2015/politica_e_planejamento.pdf</v>
      </c>
      <c r="I400" s="24" t="str">
        <f>IFERROR(__xludf.DUMMYFUNCTION("""COMPUTED_VALUE"""),"Ciências Sociais Aplicadas")</f>
        <v>Ciências Sociais Aplicadas</v>
      </c>
    </row>
    <row r="401">
      <c r="A401" s="24" t="str">
        <f>IFERROR(__xludf.DUMMYFUNCTION("""COMPUTED_VALUE"""),"Política industrial e internacionalização")</f>
        <v>Política industrial e internacionalização</v>
      </c>
      <c r="B401" s="24" t="str">
        <f>IFERROR(__xludf.DUMMYFUNCTION("""COMPUTED_VALUE"""),"Autor; Henkin")</f>
        <v>Autor; Henkin</v>
      </c>
      <c r="C401" s="24" t="str">
        <f>IFERROR(__xludf.DUMMYFUNCTION("""COMPUTED_VALUE"""),"Porto Alegre")</f>
        <v>Porto Alegre</v>
      </c>
      <c r="D401" s="24" t="str">
        <f>IFERROR(__xludf.DUMMYFUNCTION("""COMPUTED_VALUE"""),"UFRGS")</f>
        <v>UFRGS</v>
      </c>
      <c r="E401" s="25">
        <f>IFERROR(__xludf.DUMMYFUNCTION("""COMPUTED_VALUE"""),2018.0)</f>
        <v>2018</v>
      </c>
      <c r="F401" s="24" t="str">
        <f>IFERROR(__xludf.DUMMYFUNCTION("""COMPUTED_VALUE"""),"Arroz; Cadeia produtiva; Indústria agrícola; Política industrial; Políticas públicas : Brasil; Produção agrícola; Rio Grande do Sul")</f>
        <v>Arroz; Cadeia produtiva; Indústria agrícola; Política industrial; Políticas públicas : Brasil; Produção agrícola; Rio Grande do Sul</v>
      </c>
      <c r="G401" s="28" t="str">
        <f>IFERROR(__xludf.DUMMYFUNCTION("""COMPUTED_VALUE"""),"9788538604402")</f>
        <v>9788538604402</v>
      </c>
      <c r="H401" s="29" t="str">
        <f>IFERROR(__xludf.DUMMYFUNCTION("""COMPUTED_VALUE"""),"http://hdl.handle.net/10183/184834")</f>
        <v>http://hdl.handle.net/10183/184834</v>
      </c>
      <c r="I401" s="24" t="str">
        <f>IFERROR(__xludf.DUMMYFUNCTION("""COMPUTED_VALUE"""),"Ciências Sociais Aplicadas")</f>
        <v>Ciências Sociais Aplicadas</v>
      </c>
    </row>
    <row r="402">
      <c r="A402" s="24" t="str">
        <f>IFERROR(__xludf.DUMMYFUNCTION("""COMPUTED_VALUE"""),"Política prática")</f>
        <v>Política prática</v>
      </c>
      <c r="B402" s="24" t="str">
        <f>IFERROR(__xludf.DUMMYFUNCTION("""COMPUTED_VALUE"""),"Sergio Fernando Maciel Corrêa; Tiaraju Molina Andreazza; Everton Miguel Puhl Maciel (org.)")</f>
        <v>Sergio Fernando Maciel Corrêa; Tiaraju Molina Andreazza; Everton Miguel Puhl Maciel (org.)</v>
      </c>
      <c r="C402" s="24" t="str">
        <f>IFERROR(__xludf.DUMMYFUNCTION("""COMPUTED_VALUE"""),"Macapá")</f>
        <v>Macapá</v>
      </c>
      <c r="D402" s="24" t="str">
        <f>IFERROR(__xludf.DUMMYFUNCTION("""COMPUTED_VALUE"""),"UNIFAP")</f>
        <v>UNIFAP</v>
      </c>
      <c r="E402" s="25">
        <f>IFERROR(__xludf.DUMMYFUNCTION("""COMPUTED_VALUE"""),2020.0)</f>
        <v>2020</v>
      </c>
      <c r="F402" s="24" t="str">
        <f>IFERROR(__xludf.DUMMYFUNCTION("""COMPUTED_VALUE"""),"Política; Direito; Sociedade")</f>
        <v>Política; Direito; Sociedade</v>
      </c>
      <c r="G402" s="28" t="str">
        <f>IFERROR(__xludf.DUMMYFUNCTION("""COMPUTED_VALUE"""),"9786599011009")</f>
        <v>9786599011009</v>
      </c>
      <c r="H402" s="29" t="str">
        <f>IFERROR(__xludf.DUMMYFUNCTION("""COMPUTED_VALUE"""),"https://www2.unifap.br/editora/files/2020/02/politica-pratica.pdf")</f>
        <v>https://www2.unifap.br/editora/files/2020/02/politica-pratica.pdf</v>
      </c>
      <c r="I402" s="24" t="str">
        <f>IFERROR(__xludf.DUMMYFUNCTION("""COMPUTED_VALUE"""),"Ciências Sociais Aplicadas")</f>
        <v>Ciências Sociais Aplicadas</v>
      </c>
    </row>
    <row r="403">
      <c r="A403" s="24" t="str">
        <f>IFERROR(__xludf.DUMMYFUNCTION("""COMPUTED_VALUE"""),"Políticas de defesa, inteligência e segurança")</f>
        <v>Políticas de defesa, inteligência e segurança</v>
      </c>
      <c r="B403" s="24" t="str">
        <f>IFERROR(__xludf.DUMMYFUNCTION("""COMPUTED_VALUE"""),"Arturi, Carlos Schmidt")</f>
        <v>Arturi, Carlos Schmidt</v>
      </c>
      <c r="C403" s="24" t="str">
        <f>IFERROR(__xludf.DUMMYFUNCTION("""COMPUTED_VALUE"""),"Porto Alegre")</f>
        <v>Porto Alegre</v>
      </c>
      <c r="D403" s="24" t="str">
        <f>IFERROR(__xludf.DUMMYFUNCTION("""COMPUTED_VALUE"""),"UFRGS")</f>
        <v>UFRGS</v>
      </c>
      <c r="E403" s="25">
        <f>IFERROR(__xludf.DUMMYFUNCTION("""COMPUTED_VALUE"""),2018.0)</f>
        <v>2018</v>
      </c>
      <c r="F403" s="24" t="str">
        <f>IFERROR(__xludf.DUMMYFUNCTION("""COMPUTED_VALUE"""),"Defesa nacional; Segurança nacional")</f>
        <v>Defesa nacional; Segurança nacional</v>
      </c>
      <c r="G403" s="28" t="str">
        <f>IFERROR(__xludf.DUMMYFUNCTION("""COMPUTED_VALUE"""),"9788538604433")</f>
        <v>9788538604433</v>
      </c>
      <c r="H403" s="29" t="str">
        <f>IFERROR(__xludf.DUMMYFUNCTION("""COMPUTED_VALUE"""),"http://hdl.handle.net/10183/184843")</f>
        <v>http://hdl.handle.net/10183/184843</v>
      </c>
      <c r="I403" s="24" t="str">
        <f>IFERROR(__xludf.DUMMYFUNCTION("""COMPUTED_VALUE"""),"Ciências Sociais Aplicadas")</f>
        <v>Ciências Sociais Aplicadas</v>
      </c>
    </row>
    <row r="404">
      <c r="A404" s="24" t="str">
        <f>IFERROR(__xludf.DUMMYFUNCTION("""COMPUTED_VALUE"""),"Políticas de emprego, trabalho e previdência")</f>
        <v>Políticas de emprego, trabalho e previdência</v>
      </c>
      <c r="B404" s="24" t="str">
        <f>IFERROR(__xludf.DUMMYFUNCTION("""COMPUTED_VALUE"""),"Calvete, Cássio da Silva; Gosmann, Máris Caroline ")</f>
        <v>Calvete, Cássio da Silva; Gosmann, Máris Caroline </v>
      </c>
      <c r="C404" s="24" t="str">
        <f>IFERROR(__xludf.DUMMYFUNCTION("""COMPUTED_VALUE"""),"Porto Alegre")</f>
        <v>Porto Alegre</v>
      </c>
      <c r="D404" s="24" t="str">
        <f>IFERROR(__xludf.DUMMYFUNCTION("""COMPUTED_VALUE"""),"UFRGS")</f>
        <v>UFRGS</v>
      </c>
      <c r="E404" s="25">
        <f>IFERROR(__xludf.DUMMYFUNCTION("""COMPUTED_VALUE"""),2014.0)</f>
        <v>2014</v>
      </c>
      <c r="F404" s="24" t="str">
        <f>IFERROR(__xludf.DUMMYFUNCTION("""COMPUTED_VALUE"""),"Administração pública; Política de emprego; Políticas públicas : Brasil; Previdência social; Servidor público; Sindicato; Trabalho")</f>
        <v>Administração pública; Política de emprego; Políticas públicas : Brasil; Previdência social; Servidor público; Sindicato; Trabalho</v>
      </c>
      <c r="G404" s="28" t="str">
        <f>IFERROR(__xludf.DUMMYFUNCTION("""COMPUTED_VALUE"""),"9788538604877")</f>
        <v>9788538604877</v>
      </c>
      <c r="H404" s="29" t="str">
        <f>IFERROR(__xludf.DUMMYFUNCTION("""COMPUTED_VALUE"""),"http://hdl.handle.net/10183/198720")</f>
        <v>http://hdl.handle.net/10183/198720</v>
      </c>
      <c r="I404" s="24" t="str">
        <f>IFERROR(__xludf.DUMMYFUNCTION("""COMPUTED_VALUE"""),"Ciências Sociais Aplicadas")</f>
        <v>Ciências Sociais Aplicadas</v>
      </c>
    </row>
    <row r="405">
      <c r="A405" s="24" t="str">
        <f>IFERROR(__xludf.DUMMYFUNCTION("""COMPUTED_VALUE"""),"Políticas educacionais e programas de governo – aproximações e contradições. ")</f>
        <v>Políticas educacionais e programas de governo – aproximações e contradições. </v>
      </c>
      <c r="B405" s="24" t="str">
        <f>IFERROR(__xludf.DUMMYFUNCTION("""COMPUTED_VALUE"""),"Organizador: Claudio Pinto Nunes.")</f>
        <v>Organizador: Claudio Pinto Nunes.</v>
      </c>
      <c r="C405" s="24" t="str">
        <f>IFERROR(__xludf.DUMMYFUNCTION("""COMPUTED_VALUE"""),"Vitória da Conquista, BA")</f>
        <v>Vitória da Conquista, BA</v>
      </c>
      <c r="D405" s="24" t="str">
        <f>IFERROR(__xludf.DUMMYFUNCTION("""COMPUTED_VALUE"""),"Edições UESB")</f>
        <v>Edições UESB</v>
      </c>
      <c r="E405" s="25">
        <f>IFERROR(__xludf.DUMMYFUNCTION("""COMPUTED_VALUE"""),2017.0)</f>
        <v>2017</v>
      </c>
      <c r="F405" s="24" t="str">
        <f>IFERROR(__xludf.DUMMYFUNCTION("""COMPUTED_VALUE"""),"Política; Políticas públicas. Políticas educativas")</f>
        <v>Política; Políticas públicas. Políticas educativas</v>
      </c>
      <c r="G405" s="28" t="str">
        <f>IFERROR(__xludf.DUMMYFUNCTION("""COMPUTED_VALUE"""),"9788579851247")</f>
        <v>9788579851247</v>
      </c>
      <c r="H405" s="29" t="str">
        <f>IFERROR(__xludf.DUMMYFUNCTION("""COMPUTED_VALUE"""),"http://www2.uesb.br/editora/wp-content/uploads/POL%C3%8DTICAS-EDUCACIONAIS.pdf")</f>
        <v>http://www2.uesb.br/editora/wp-content/uploads/POL%C3%8DTICAS-EDUCACIONAIS.pdf</v>
      </c>
      <c r="I405" s="24" t="str">
        <f>IFERROR(__xludf.DUMMYFUNCTION("""COMPUTED_VALUE"""),"Ciências Sociais Aplicadas")</f>
        <v>Ciências Sociais Aplicadas</v>
      </c>
    </row>
    <row r="406">
      <c r="A406" s="24" t="str">
        <f>IFERROR(__xludf.DUMMYFUNCTION("""COMPUTED_VALUE"""),"Políticas globais e contextos locais: trabalho infantil no Brasil e no Paraguai")</f>
        <v>Políticas globais e contextos locais: trabalho infantil no Brasil e no Paraguai</v>
      </c>
      <c r="B406" s="24" t="str">
        <f>IFERROR(__xludf.DUMMYFUNCTION("""COMPUTED_VALUE"""),"Marcia Guedes Vieira")</f>
        <v>Marcia Guedes Vieira</v>
      </c>
      <c r="C406" s="24" t="str">
        <f>IFERROR(__xludf.DUMMYFUNCTION("""COMPUTED_VALUE"""),"Brasília")</f>
        <v>Brasília</v>
      </c>
      <c r="D406" s="24" t="str">
        <f>IFERROR(__xludf.DUMMYFUNCTION("""COMPUTED_VALUE"""),"Editora Universidade de Brasília")</f>
        <v>Editora Universidade de Brasília</v>
      </c>
      <c r="E406" s="25">
        <f>IFERROR(__xludf.DUMMYFUNCTION("""COMPUTED_VALUE"""),2019.0)</f>
        <v>2019</v>
      </c>
      <c r="F406" s="24" t="str">
        <f>IFERROR(__xludf.DUMMYFUNCTION("""COMPUTED_VALUE"""),"Globalização; Políticas públicas; Trabalho infantil")</f>
        <v>Globalização; Políticas públicas; Trabalho infantil</v>
      </c>
      <c r="G406" s="28" t="str">
        <f>IFERROR(__xludf.DUMMYFUNCTION("""COMPUTED_VALUE"""),"9788523009403")</f>
        <v>9788523009403</v>
      </c>
      <c r="H406" s="29" t="str">
        <f>IFERROR(__xludf.DUMMYFUNCTION("""COMPUTED_VALUE"""),"https://livros.unb.br/index.php/portal/catalog/view/15/14/62-1")</f>
        <v>https://livros.unb.br/index.php/portal/catalog/view/15/14/62-1</v>
      </c>
      <c r="I406" s="24" t="str">
        <f>IFERROR(__xludf.DUMMYFUNCTION("""COMPUTED_VALUE"""),"Ciências Sociais Aplicadas")</f>
        <v>Ciências Sociais Aplicadas</v>
      </c>
    </row>
    <row r="407">
      <c r="A407" s="24" t="str">
        <f>IFERROR(__xludf.DUMMYFUNCTION("""COMPUTED_VALUE"""),"Políticas públicas de segurança, informação e análise criminal ")</f>
        <v>Políticas públicas de segurança, informação e análise criminal </v>
      </c>
      <c r="B407" s="24" t="str">
        <f>IFERROR(__xludf.DUMMYFUNCTION("""COMPUTED_VALUE"""),"Ana Paula Mendes de Miranda, Lana Lage da Gama Lima (org.)")</f>
        <v>Ana Paula Mendes de Miranda, Lana Lage da Gama Lima (org.)</v>
      </c>
      <c r="C407" s="24" t="str">
        <f>IFERROR(__xludf.DUMMYFUNCTION("""COMPUTED_VALUE"""),"Niterói, RJ")</f>
        <v>Niterói, RJ</v>
      </c>
      <c r="D407" s="24" t="str">
        <f>IFERROR(__xludf.DUMMYFUNCTION("""COMPUTED_VALUE"""),"EDUFF")</f>
        <v>EDUFF</v>
      </c>
      <c r="E407" s="25">
        <f>IFERROR(__xludf.DUMMYFUNCTION("""COMPUTED_VALUE"""),2008.0)</f>
        <v>2008</v>
      </c>
      <c r="F407" s="24" t="str">
        <f>IFERROR(__xludf.DUMMYFUNCTION("""COMPUTED_VALUE"""),"Segurança Pública; Políticas Públicas; Análise Criminal")</f>
        <v>Segurança Pública; Políticas Públicas; Análise Criminal</v>
      </c>
      <c r="G407" s="28" t="str">
        <f>IFERROR(__xludf.DUMMYFUNCTION("""COMPUTED_VALUE"""),"9878522804849")</f>
        <v>9878522804849</v>
      </c>
      <c r="H407" s="29" t="str">
        <f>IFERROR(__xludf.DUMMYFUNCTION("""COMPUTED_VALUE"""),"http://bit.ly/Politicas-publicas-de-seguranca")</f>
        <v>http://bit.ly/Politicas-publicas-de-seguranca</v>
      </c>
      <c r="I407" s="24" t="str">
        <f>IFERROR(__xludf.DUMMYFUNCTION("""COMPUTED_VALUE"""),"Ciências Sociais Aplicadas")</f>
        <v>Ciências Sociais Aplicadas</v>
      </c>
    </row>
    <row r="408">
      <c r="A408" s="24" t="str">
        <f>IFERROR(__xludf.DUMMYFUNCTION("""COMPUTED_VALUE"""),"Políticas públicas e desenvolvimento rural no Brasil")</f>
        <v>Políticas públicas e desenvolvimento rural no Brasil</v>
      </c>
      <c r="B408" s="24" t="str">
        <f>IFERROR(__xludf.DUMMYFUNCTION("""COMPUTED_VALUE"""),"Mielitz Netto, Carlos Guilherme Adalberto; Melo, Lenivaldo Manoel de; Maia, Cláudio Machado ")</f>
        <v>Mielitz Netto, Carlos Guilherme Adalberto; Melo, Lenivaldo Manoel de; Maia, Cláudio Machado </v>
      </c>
      <c r="C408" s="24" t="str">
        <f>IFERROR(__xludf.DUMMYFUNCTION("""COMPUTED_VALUE"""),"Porto Alegre")</f>
        <v>Porto Alegre</v>
      </c>
      <c r="D408" s="24" t="str">
        <f>IFERROR(__xludf.DUMMYFUNCTION("""COMPUTED_VALUE"""),"UFRGS")</f>
        <v>UFRGS</v>
      </c>
      <c r="E408" s="25">
        <f>IFERROR(__xludf.DUMMYFUNCTION("""COMPUTED_VALUE"""),2010.0)</f>
        <v>2010</v>
      </c>
      <c r="F408" s="24" t="str">
        <f>IFERROR(__xludf.DUMMYFUNCTION("""COMPUTED_VALUE"""),"Brasil; Desenvolvimento rural; Política agrícola; Políticas públicas; Questão agrária")</f>
        <v>Brasil; Desenvolvimento rural; Política agrícola; Políticas públicas; Questão agrária</v>
      </c>
      <c r="G408" s="28" t="str">
        <f>IFERROR(__xludf.DUMMYFUNCTION("""COMPUTED_VALUE"""),"9788538601197")</f>
        <v>9788538601197</v>
      </c>
      <c r="H408" s="29" t="str">
        <f>IFERROR(__xludf.DUMMYFUNCTION("""COMPUTED_VALUE"""),"http://hdl.handle.net/10183/56444")</f>
        <v>http://hdl.handle.net/10183/56444</v>
      </c>
      <c r="I408" s="24" t="str">
        <f>IFERROR(__xludf.DUMMYFUNCTION("""COMPUTED_VALUE"""),"Ciências Sociais Aplicadas")</f>
        <v>Ciências Sociais Aplicadas</v>
      </c>
    </row>
    <row r="409">
      <c r="A409" s="24" t="str">
        <f>IFERROR(__xludf.DUMMYFUNCTION("""COMPUTED_VALUE"""),"Políticas públicas na América Latina: novas territorialidades e processos")</f>
        <v>Políticas públicas na América Latina: novas territorialidades e processos</v>
      </c>
      <c r="B409" s="24" t="str">
        <f>IFERROR(__xludf.DUMMYFUNCTION("""COMPUTED_VALUE"""),"Faria, Carlos Aurélio Pimenta de; Rocha, Carlos Vasconcelos; Figueiras, Cristina Almeida Cunha; Souki, Léa Guimarães ")</f>
        <v>Faria, Carlos Aurélio Pimenta de; Rocha, Carlos Vasconcelos; Figueiras, Cristina Almeida Cunha; Souki, Léa Guimarães </v>
      </c>
      <c r="C409" s="24" t="str">
        <f>IFERROR(__xludf.DUMMYFUNCTION("""COMPUTED_VALUE"""),"Porto Alegre")</f>
        <v>Porto Alegre</v>
      </c>
      <c r="D409" s="24" t="str">
        <f>IFERROR(__xludf.DUMMYFUNCTION("""COMPUTED_VALUE"""),"UFRGS")</f>
        <v>UFRGS</v>
      </c>
      <c r="E409" s="25">
        <f>IFERROR(__xludf.DUMMYFUNCTION("""COMPUTED_VALUE"""),2016.0)</f>
        <v>2016</v>
      </c>
      <c r="F409" s="24" t="str">
        <f>IFERROR(__xludf.DUMMYFUNCTION("""COMPUTED_VALUE"""),"Administração pública; América Latina; Assistência social; Cidadania; Ciência política; Gestão pública; Participação social; Política social; Políticas públicas : América Latina; Territorialização")</f>
        <v>Administração pública; América Latina; Assistência social; Cidadania; Ciência política; Gestão pública; Participação social; Política social; Políticas públicas : América Latina; Territorialização</v>
      </c>
      <c r="G409" s="28" t="str">
        <f>IFERROR(__xludf.DUMMYFUNCTION("""COMPUTED_VALUE"""),"9788538605096")</f>
        <v>9788538605096</v>
      </c>
      <c r="H409" s="29" t="str">
        <f>IFERROR(__xludf.DUMMYFUNCTION("""COMPUTED_VALUE"""),"http://hdl.handle.net/10183/213376")</f>
        <v>http://hdl.handle.net/10183/213376</v>
      </c>
      <c r="I409" s="24" t="str">
        <f>IFERROR(__xludf.DUMMYFUNCTION("""COMPUTED_VALUE"""),"Ciências Sociais Aplicadas")</f>
        <v>Ciências Sociais Aplicadas</v>
      </c>
    </row>
    <row r="410">
      <c r="A410" s="24" t="str">
        <f>IFERROR(__xludf.DUMMYFUNCTION("""COMPUTED_VALUE"""),"Políticas públicas no século XXI")</f>
        <v>Políticas públicas no século XXI</v>
      </c>
      <c r="B410" s="24" t="str">
        <f>IFERROR(__xludf.DUMMYFUNCTION("""COMPUTED_VALUE"""),"Gianezini, Kelly; Rodrigues, Adriane Bandeira")</f>
        <v>Gianezini, Kelly; Rodrigues, Adriane Bandeira</v>
      </c>
      <c r="C410" s="24" t="str">
        <f>IFERROR(__xludf.DUMMYFUNCTION("""COMPUTED_VALUE"""),"Criciúma")</f>
        <v>Criciúma</v>
      </c>
      <c r="D410" s="24" t="str">
        <f>IFERROR(__xludf.DUMMYFUNCTION("""COMPUTED_VALUE"""),"UNESC")</f>
        <v>UNESC</v>
      </c>
      <c r="E410" s="25">
        <f>IFERROR(__xludf.DUMMYFUNCTION("""COMPUTED_VALUE"""),2019.0)</f>
        <v>2019</v>
      </c>
      <c r="F410" s="24" t="str">
        <f>IFERROR(__xludf.DUMMYFUNCTION("""COMPUTED_VALUE"""),"Política pública; Desenvolvimento econômico – Aspectos ambientais; Iniquidade social; Programas de sustentação de renda – Brasil; Brasil – Política social; Direito da criança e do adolescente; Direito à educação; Direito à saúde; Medicamentos de alto cust"&amp;"o – Política pública; Educação – Política pública; Ensino superior – Política pública")</f>
        <v>Política pública; Desenvolvimento econômico – Aspectos ambientais; Iniquidade social; Programas de sustentação de renda – Brasil; Brasil – Política social; Direito da criança e do adolescente; Direito à educação; Direito à saúde; Medicamentos de alto custo – Política pública; Educação – Política pública; Ensino superior – Política pública</v>
      </c>
      <c r="G410" s="28" t="str">
        <f>IFERROR(__xludf.DUMMYFUNCTION("""COMPUTED_VALUE"""),"9788584101115")</f>
        <v>9788584101115</v>
      </c>
      <c r="H410" s="29" t="str">
        <f>IFERROR(__xludf.DUMMYFUNCTION("""COMPUTED_VALUE"""),"https://doi.org/10.18616/pps")</f>
        <v>https://doi.org/10.18616/pps</v>
      </c>
      <c r="I410" s="24" t="str">
        <f>IFERROR(__xludf.DUMMYFUNCTION("""COMPUTED_VALUE"""),"Ciências Sociais Aplicadas")</f>
        <v>Ciências Sociais Aplicadas</v>
      </c>
    </row>
    <row r="411">
      <c r="A411" s="24" t="str">
        <f>IFERROR(__xludf.DUMMYFUNCTION("""COMPUTED_VALUE"""),"Políticas públicas: monitoramento, avaliação, controle e participação social no Governo do Rio Grande do Sul")</f>
        <v>Políticas públicas: monitoramento, avaliação, controle e participação social no Governo do Rio Grande do Sul</v>
      </c>
      <c r="B411" s="24" t="str">
        <f>IFERROR(__xludf.DUMMYFUNCTION("""COMPUTED_VALUE"""),"Corezola, Fernanda Costa; Griza, Aida; Ramos, Marilia Patta ")</f>
        <v>Corezola, Fernanda Costa; Griza, Aida; Ramos, Marilia Patta </v>
      </c>
      <c r="C411" s="24" t="str">
        <f>IFERROR(__xludf.DUMMYFUNCTION("""COMPUTED_VALUE"""),"Porto Alegre")</f>
        <v>Porto Alegre</v>
      </c>
      <c r="D411" s="24" t="str">
        <f>IFERROR(__xludf.DUMMYFUNCTION("""COMPUTED_VALUE"""),"UFRGS")</f>
        <v>UFRGS</v>
      </c>
      <c r="E411" s="25">
        <f>IFERROR(__xludf.DUMMYFUNCTION("""COMPUTED_VALUE"""),2015.0)</f>
        <v>2015</v>
      </c>
      <c r="F411" s="24" t="str">
        <f>IFERROR(__xludf.DUMMYFUNCTION("""COMPUTED_VALUE"""),"Administração pública; Avaliação de projeto; Gestão pública; Monitoramento; Participação social; Políticas públicas; Rio Grande do Sul; Rio Grande do Sul. Governo do Estado")</f>
        <v>Administração pública; Avaliação de projeto; Gestão pública; Monitoramento; Participação social; Políticas públicas; Rio Grande do Sul; Rio Grande do Sul. Governo do Estado</v>
      </c>
      <c r="G411" s="28" t="str">
        <f>IFERROR(__xludf.DUMMYFUNCTION("""COMPUTED_VALUE"""),"9788538605126")</f>
        <v>9788538605126</v>
      </c>
      <c r="H411" s="29" t="str">
        <f>IFERROR(__xludf.DUMMYFUNCTION("""COMPUTED_VALUE"""),"http://hdl.handle.net/10183/213377")</f>
        <v>http://hdl.handle.net/10183/213377</v>
      </c>
      <c r="I411" s="24" t="str">
        <f>IFERROR(__xludf.DUMMYFUNCTION("""COMPUTED_VALUE"""),"Ciências Sociais Aplicadas")</f>
        <v>Ciências Sociais Aplicadas</v>
      </c>
    </row>
    <row r="412">
      <c r="A412" s="24" t="str">
        <f>IFERROR(__xludf.DUMMYFUNCTION("""COMPUTED_VALUE"""),"Políticas sociais na contemporaneidade: programas, serviços e trabalho profissional")</f>
        <v>Políticas sociais na contemporaneidade: programas, serviços e trabalho profissional</v>
      </c>
      <c r="B412" s="24" t="str">
        <f>IFERROR(__xludf.DUMMYFUNCTION("""COMPUTED_VALUE"""),"Solange Maria Teixeira; João Paulo Sales Macedo (org.)")</f>
        <v>Solange Maria Teixeira; João Paulo Sales Macedo (org.)</v>
      </c>
      <c r="C412" s="24" t="str">
        <f>IFERROR(__xludf.DUMMYFUNCTION("""COMPUTED_VALUE"""),"Teresina")</f>
        <v>Teresina</v>
      </c>
      <c r="D412" s="24" t="str">
        <f>IFERROR(__xludf.DUMMYFUNCTION("""COMPUTED_VALUE"""),"EDUFPI")</f>
        <v>EDUFPI</v>
      </c>
      <c r="E412" s="25">
        <f>IFERROR(__xludf.DUMMYFUNCTION("""COMPUTED_VALUE"""),2017.0)</f>
        <v>2017</v>
      </c>
      <c r="F412" s="24" t="str">
        <f>IFERROR(__xludf.DUMMYFUNCTION("""COMPUTED_VALUE"""),"Estado; Políticas Sociais; Trabalho Profissional; Políticas Públicas")</f>
        <v>Estado; Políticas Sociais; Trabalho Profissional; Políticas Públicas</v>
      </c>
      <c r="G412" s="28" t="str">
        <f>IFERROR(__xludf.DUMMYFUNCTION("""COMPUTED_VALUE"""),"9788550901381")</f>
        <v>9788550901381</v>
      </c>
      <c r="H412" s="29" t="str">
        <f>IFERROR(__xludf.DUMMYFUNCTION("""COMPUTED_VALUE"""),"https://www.ufpi.br/arquivos_download/arquivos/EDUFPI/LIVRO_POLITICAS_SOCIAIS_REV_1.pdf")</f>
        <v>https://www.ufpi.br/arquivos_download/arquivos/EDUFPI/LIVRO_POLITICAS_SOCIAIS_REV_1.pdf</v>
      </c>
      <c r="I412" s="24" t="str">
        <f>IFERROR(__xludf.DUMMYFUNCTION("""COMPUTED_VALUE"""),"Ciências Sociais Aplicadas")</f>
        <v>Ciências Sociais Aplicadas</v>
      </c>
    </row>
    <row r="413">
      <c r="A413" s="24" t="str">
        <f>IFERROR(__xludf.DUMMYFUNCTION("""COMPUTED_VALUE"""),"Popular participation on the elaboration of municipal public budgets: the Espírito Santo Case: 1983 to 1994")</f>
        <v>Popular participation on the elaboration of municipal public budgets: the Espírito Santo Case: 1983 to 1994</v>
      </c>
      <c r="B413" s="24" t="str">
        <f>IFERROR(__xludf.DUMMYFUNCTION("""COMPUTED_VALUE"""),"Fernando João Pignaton")</f>
        <v>Fernando João Pignaton</v>
      </c>
      <c r="C413" s="24" t="str">
        <f>IFERROR(__xludf.DUMMYFUNCTION("""COMPUTED_VALUE"""),"Vitória")</f>
        <v>Vitória</v>
      </c>
      <c r="D413" s="24" t="str">
        <f>IFERROR(__xludf.DUMMYFUNCTION("""COMPUTED_VALUE"""),"EDUFES")</f>
        <v>EDUFES</v>
      </c>
      <c r="E413" s="25">
        <f>IFERROR(__xludf.DUMMYFUNCTION("""COMPUTED_VALUE"""),2015.0)</f>
        <v>2015</v>
      </c>
      <c r="F413" s="24" t="str">
        <f>IFERROR(__xludf.DUMMYFUNCTION("""COMPUTED_VALUE"""),"Orçamento municipal; Participação política; Participação popular; Cidadania")</f>
        <v>Orçamento municipal; Participação política; Participação popular; Cidadania</v>
      </c>
      <c r="G413" s="28" t="str">
        <f>IFERROR(__xludf.DUMMYFUNCTION("""COMPUTED_VALUE"""),"9788577722853")</f>
        <v>9788577722853</v>
      </c>
      <c r="H413" s="29" t="str">
        <f>IFERROR(__xludf.DUMMYFUNCTION("""COMPUTED_VALUE"""),"http://repositorio.ufes.br/bitstream/10/1413/1/Popular%20participation%20on%20the%20elaboration%20of%20municipal%20public%20budgets%20%3A%20the%20Esp%C3%ADrito%20Santo%20case%201983%20to%201994.pdf")</f>
        <v>http://repositorio.ufes.br/bitstream/10/1413/1/Popular%20participation%20on%20the%20elaboration%20of%20municipal%20public%20budgets%20%3A%20the%20Esp%C3%ADrito%20Santo%20case%201983%20to%201994.pdf</v>
      </c>
      <c r="I413" s="24" t="str">
        <f>IFERROR(__xludf.DUMMYFUNCTION("""COMPUTED_VALUE"""),"Ciências Sociais Aplicadas")</f>
        <v>Ciências Sociais Aplicadas</v>
      </c>
    </row>
    <row r="414">
      <c r="A414" s="24" t="str">
        <f>IFERROR(__xludf.DUMMYFUNCTION("""COMPUTED_VALUE"""),"Por uma teoria da coisa julgada inconstitucional ")</f>
        <v>Por uma teoria da coisa julgada inconstitucional </v>
      </c>
      <c r="B414" s="24" t="str">
        <f>IFERROR(__xludf.DUMMYFUNCTION("""COMPUTED_VALUE"""),"Carlos Valder do Nascimento")</f>
        <v>Carlos Valder do Nascimento</v>
      </c>
      <c r="C414" s="24" t="str">
        <f>IFERROR(__xludf.DUMMYFUNCTION("""COMPUTED_VALUE"""),"Ilhéus, BA")</f>
        <v>Ilhéus, BA</v>
      </c>
      <c r="D414" s="24" t="str">
        <f>IFERROR(__xludf.DUMMYFUNCTION("""COMPUTED_VALUE"""),"Editus")</f>
        <v>Editus</v>
      </c>
      <c r="E414" s="25">
        <f>IFERROR(__xludf.DUMMYFUNCTION("""COMPUTED_VALUE"""),2017.0)</f>
        <v>2017</v>
      </c>
      <c r="F414" s="24" t="str">
        <f>IFERROR(__xludf.DUMMYFUNCTION("""COMPUTED_VALUE"""),"Coisa julgada; Direito constitucional – Brasil; Controle da constitucionalidade")</f>
        <v>Coisa julgada; Direito constitucional – Brasil; Controle da constitucionalidade</v>
      </c>
      <c r="G414" s="28" t="str">
        <f>IFERROR(__xludf.DUMMYFUNCTION("""COMPUTED_VALUE"""),"9788574554327")</f>
        <v>9788574554327</v>
      </c>
      <c r="H414" s="29" t="str">
        <f>IFERROR(__xludf.DUMMYFUNCTION("""COMPUTED_VALUE"""),"http://www.uesc.br/editora/livrosdigitais2017/por_uma_teoria_coisa_julgada.pdf")</f>
        <v>http://www.uesc.br/editora/livrosdigitais2017/por_uma_teoria_coisa_julgada.pdf</v>
      </c>
      <c r="I414" s="24" t="str">
        <f>IFERROR(__xludf.DUMMYFUNCTION("""COMPUTED_VALUE"""),"Ciências Sociais Aplicadas")</f>
        <v>Ciências Sociais Aplicadas</v>
      </c>
    </row>
    <row r="415">
      <c r="A415" s="24" t="str">
        <f>IFERROR(__xludf.DUMMYFUNCTION("""COMPUTED_VALUE"""),"Povos Indígenas e relações de poder: olhares sobre a América do Sul")</f>
        <v>Povos Indígenas e relações de poder: olhares sobre a América do Sul</v>
      </c>
      <c r="B415" s="24" t="str">
        <f>IFERROR(__xludf.DUMMYFUNCTION("""COMPUTED_VALUE"""),"Fabio Mura; Marcondes de Araújo Secundino; Alexandra Barbosa da Silva (org.)")</f>
        <v>Fabio Mura; Marcondes de Araújo Secundino; Alexandra Barbosa da Silva (org.)</v>
      </c>
      <c r="C415" s="24" t="str">
        <f>IFERROR(__xludf.DUMMYFUNCTION("""COMPUTED_VALUE"""),"Campina Grande")</f>
        <v>Campina Grande</v>
      </c>
      <c r="D415" s="24" t="str">
        <f>IFERROR(__xludf.DUMMYFUNCTION("""COMPUTED_VALUE"""),"EDUEPB")</f>
        <v>EDUEPB</v>
      </c>
      <c r="E415" s="25">
        <f>IFERROR(__xludf.DUMMYFUNCTION("""COMPUTED_VALUE"""),2019.0)</f>
        <v>2019</v>
      </c>
      <c r="F415" s="24" t="str">
        <f>IFERROR(__xludf.DUMMYFUNCTION("""COMPUTED_VALUE"""),"Colonização. Povos indígenas – Relações de poder. Reforma Agrária – povos indígenas. Antropologia. Direitos fundamentais. Povos autóctone – América do Sul. Ciência Política e Antropologia")</f>
        <v>Colonização. Povos indígenas – Relações de poder. Reforma Agrária – povos indígenas. Antropologia. Direitos fundamentais. Povos autóctone – América do Sul. Ciência Política e Antropologia</v>
      </c>
      <c r="G415" s="28" t="str">
        <f>IFERROR(__xludf.DUMMYFUNCTION("""COMPUTED_VALUE"""),"9788578795993")</f>
        <v>9788578795993</v>
      </c>
      <c r="H415" s="29" t="str">
        <f>IFERROR(__xludf.DUMMYFUNCTION("""COMPUTED_VALUE"""),"http://eduepb.uepb.edu.br/download/povos-indigenas-e-relacoes-de-poder-olhares-sobre-a-america-do-sul/?wpdmdl=878&amp;#038;masterkey=5dc95e188a0fe")</f>
        <v>http://eduepb.uepb.edu.br/download/povos-indigenas-e-relacoes-de-poder-olhares-sobre-a-america-do-sul/?wpdmdl=878&amp;#038;masterkey=5dc95e188a0fe</v>
      </c>
      <c r="I415" s="24" t="str">
        <f>IFERROR(__xludf.DUMMYFUNCTION("""COMPUTED_VALUE"""),"Ciências Sociais Aplicadas")</f>
        <v>Ciências Sociais Aplicadas</v>
      </c>
    </row>
    <row r="416">
      <c r="A416" s="24" t="str">
        <f>IFERROR(__xludf.DUMMYFUNCTION("""COMPUTED_VALUE"""),"Prática e saberes de extensão: volume 1")</f>
        <v>Prática e saberes de extensão: volume 1</v>
      </c>
      <c r="B416" s="24" t="str">
        <f>IFERROR(__xludf.DUMMYFUNCTION("""COMPUTED_VALUE"""),"Ceretta, Luciane Bisognin; Souza, Reginaldo de Souza")</f>
        <v>Ceretta, Luciane Bisognin; Souza, Reginaldo de Souza</v>
      </c>
      <c r="C416" s="24" t="str">
        <f>IFERROR(__xludf.DUMMYFUNCTION("""COMPUTED_VALUE"""),"Criciúma")</f>
        <v>Criciúma</v>
      </c>
      <c r="D416" s="24"/>
      <c r="E416" s="25">
        <f>IFERROR(__xludf.DUMMYFUNCTION("""COMPUTED_VALUE"""),2015.0)</f>
        <v>2015</v>
      </c>
      <c r="F416" s="24" t="str">
        <f>IFERROR(__xludf.DUMMYFUNCTION("""COMPUTED_VALUE"""),"Extensão universitária; Práticas de ensino; Assistência jurídica; Projetos culturais; Assistência a saúde")</f>
        <v>Extensão universitária; Práticas de ensino; Assistência jurídica; Projetos culturais; Assistência a saúde</v>
      </c>
      <c r="G416" s="28" t="str">
        <f>IFERROR(__xludf.DUMMYFUNCTION("""COMPUTED_VALUE"""),"9788584100156")</f>
        <v>9788584100156</v>
      </c>
      <c r="H416" s="29" t="str">
        <f>IFERROR(__xludf.DUMMYFUNCTION("""COMPUTED_VALUE"""),"http://repositorio.unesc.net/handle/1/3365")</f>
        <v>http://repositorio.unesc.net/handle/1/3365</v>
      </c>
      <c r="I416" s="24" t="str">
        <f>IFERROR(__xludf.DUMMYFUNCTION("""COMPUTED_VALUE"""),"Ciências Sociais Aplicadas")</f>
        <v>Ciências Sociais Aplicadas</v>
      </c>
    </row>
    <row r="417">
      <c r="A417" s="24" t="str">
        <f>IFERROR(__xludf.DUMMYFUNCTION("""COMPUTED_VALUE"""),"Práticas educativas e interatividade em Comunicação e Educação")</f>
        <v>Práticas educativas e interatividade em Comunicação e Educação</v>
      </c>
      <c r="B417" s="24" t="str">
        <f>IFERROR(__xludf.DUMMYFUNCTION("""COMPUTED_VALUE"""),"Eliana Nagamini, organizadora. ")</f>
        <v>Eliana Nagamini, organizadora. </v>
      </c>
      <c r="C417" s="24" t="str">
        <f>IFERROR(__xludf.DUMMYFUNCTION("""COMPUTED_VALUE"""),"Ilhéus, BA")</f>
        <v>Ilhéus, BA</v>
      </c>
      <c r="D417" s="24" t="str">
        <f>IFERROR(__xludf.DUMMYFUNCTION("""COMPUTED_VALUE"""),"Editus")</f>
        <v>Editus</v>
      </c>
      <c r="E417" s="25">
        <f>IFERROR(__xludf.DUMMYFUNCTION("""COMPUTED_VALUE"""),2016.0)</f>
        <v>2016</v>
      </c>
      <c r="F417" s="24" t="str">
        <f>IFERROR(__xludf.DUMMYFUNCTION("""COMPUTED_VALUE"""),"Comunicação; Comunicação e educação; Comunicação – Estudo e ensino; Comunicacação – Pesquisa")</f>
        <v>Comunicação; Comunicação e educação; Comunicação – Estudo e ensino; Comunicacação – Pesquisa</v>
      </c>
      <c r="G417" s="28" t="str">
        <f>IFERROR(__xludf.DUMMYFUNCTION("""COMPUTED_VALUE"""),"9788574554136")</f>
        <v>9788574554136</v>
      </c>
      <c r="H417" s="29" t="str">
        <f>IFERROR(__xludf.DUMMYFUNCTION("""COMPUTED_VALUE"""),"http://www.uesc.br/editora/livrosdigitais_20170620/com_e_edu3.pdf")</f>
        <v>http://www.uesc.br/editora/livrosdigitais_20170620/com_e_edu3.pdf</v>
      </c>
      <c r="I417" s="24" t="str">
        <f>IFERROR(__xludf.DUMMYFUNCTION("""COMPUTED_VALUE"""),"Ciências Sociais Aplicadas")</f>
        <v>Ciências Sociais Aplicadas</v>
      </c>
    </row>
    <row r="418">
      <c r="A418" s="24" t="str">
        <f>IFERROR(__xludf.DUMMYFUNCTION("""COMPUTED_VALUE"""),"Práticas jornalísticas na contemporaneidade: um ebook coletivo e colaborativo")</f>
        <v>Práticas jornalísticas na contemporaneidade: um ebook coletivo e colaborativo</v>
      </c>
      <c r="B418" s="24" t="str">
        <f>IFERROR(__xludf.DUMMYFUNCTION("""COMPUTED_VALUE"""),"Marli dos Santos (org.)")</f>
        <v>Marli dos Santos (org.)</v>
      </c>
      <c r="C418" s="24" t="str">
        <f>IFERROR(__xludf.DUMMYFUNCTION("""COMPUTED_VALUE"""),"São Bernardo do Campo, SP")</f>
        <v>São Bernardo do Campo, SP</v>
      </c>
      <c r="D418" s="24" t="str">
        <f>IFERROR(__xludf.DUMMYFUNCTION("""COMPUTED_VALUE"""),"UMESP")</f>
        <v>UMESP</v>
      </c>
      <c r="E418" s="25"/>
      <c r="F418" s="24" t="str">
        <f>IFERROR(__xludf.DUMMYFUNCTION("""COMPUTED_VALUE"""),"Práticas jornalísticas. Jornalismo. Ebook")</f>
        <v>Práticas jornalísticas. Jornalismo. Ebook</v>
      </c>
      <c r="G418" s="26"/>
      <c r="H418" s="29" t="str">
        <f>IFERROR(__xludf.DUMMYFUNCTION("""COMPUTED_VALUE"""),"http://editora.metodista.br/livros-gratis/E-book%20-%20Praticas%20jornalisticas.pdf/at_download/file")</f>
        <v>http://editora.metodista.br/livros-gratis/E-book%20-%20Praticas%20jornalisticas.pdf/at_download/file</v>
      </c>
      <c r="I418" s="24" t="str">
        <f>IFERROR(__xludf.DUMMYFUNCTION("""COMPUTED_VALUE"""),"Ciências Sociais Aplicadas")</f>
        <v>Ciências Sociais Aplicadas</v>
      </c>
    </row>
    <row r="419">
      <c r="A419" s="24" t="str">
        <f>IFERROR(__xludf.DUMMYFUNCTION("""COMPUTED_VALUE"""),"Precarização do Trabalho, adoecimento e sofrimento do professor")</f>
        <v>Precarização do Trabalho, adoecimento e sofrimento do professor</v>
      </c>
      <c r="B419" s="24" t="str">
        <f>IFERROR(__xludf.DUMMYFUNCTION("""COMPUTED_VALUE"""),"Marilda Gonçalves Dias Facci, Sônia da Cunha Urt (org.)")</f>
        <v>Marilda Gonçalves Dias Facci, Sônia da Cunha Urt (org.)</v>
      </c>
      <c r="C419" s="24" t="str">
        <f>IFERROR(__xludf.DUMMYFUNCTION("""COMPUTED_VALUE"""),"Teresina")</f>
        <v>Teresina</v>
      </c>
      <c r="D419" s="24" t="str">
        <f>IFERROR(__xludf.DUMMYFUNCTION("""COMPUTED_VALUE"""),"EDUFPI")</f>
        <v>EDUFPI</v>
      </c>
      <c r="E419" s="25">
        <f>IFERROR(__xludf.DUMMYFUNCTION("""COMPUTED_VALUE"""),2017.0)</f>
        <v>2017</v>
      </c>
      <c r="F419" s="24" t="str">
        <f>IFERROR(__xludf.DUMMYFUNCTION("""COMPUTED_VALUE"""),"Trabalho docente; Formação de professores; Educação pública")</f>
        <v>Trabalho docente; Formação de professores; Educação pública</v>
      </c>
      <c r="G419" s="28" t="str">
        <f>IFERROR(__xludf.DUMMYFUNCTION("""COMPUTED_VALUE"""),"9788550902524")</f>
        <v>9788550902524</v>
      </c>
      <c r="H419" s="29" t="str">
        <f>IFERROR(__xludf.DUMMYFUNCTION("""COMPUTED_VALUE"""),"https://www.ufpi.br/arquivos_download/arquivos/EDUFPI/LIVRO_PRECARIZACAO_DO_TRABALHO_14-12.pdf")</f>
        <v>https://www.ufpi.br/arquivos_download/arquivos/EDUFPI/LIVRO_PRECARIZACAO_DO_TRABALHO_14-12.pdf</v>
      </c>
      <c r="I419" s="24" t="str">
        <f>IFERROR(__xludf.DUMMYFUNCTION("""COMPUTED_VALUE"""),"Ciências Sociais Aplicadas")</f>
        <v>Ciências Sociais Aplicadas</v>
      </c>
    </row>
    <row r="420">
      <c r="A420" s="24" t="str">
        <f>IFERROR(__xludf.DUMMYFUNCTION("""COMPUTED_VALUE"""),"Presunção de Inocência")</f>
        <v>Presunção de Inocência</v>
      </c>
      <c r="B420" s="24" t="str">
        <f>IFERROR(__xludf.DUMMYFUNCTION("""COMPUTED_VALUE"""),"Monica Paraguassu Correia da Silva")</f>
        <v>Monica Paraguassu Correia da Silva</v>
      </c>
      <c r="C420" s="24" t="str">
        <f>IFERROR(__xludf.DUMMYFUNCTION("""COMPUTED_VALUE"""),"Niterói, RJ")</f>
        <v>Niterói, RJ</v>
      </c>
      <c r="D420" s="24" t="str">
        <f>IFERROR(__xludf.DUMMYFUNCTION("""COMPUTED_VALUE"""),"Editora da UFF")</f>
        <v>Editora da UFF</v>
      </c>
      <c r="E420" s="25">
        <f>IFERROR(__xludf.DUMMYFUNCTION("""COMPUTED_VALUE"""),2011.0)</f>
        <v>2011</v>
      </c>
      <c r="F420" s="24" t="str">
        <f>IFERROR(__xludf.DUMMYFUNCTION("""COMPUTED_VALUE"""),"Direito; Política criminal")</f>
        <v>Direito; Política criminal</v>
      </c>
      <c r="G420" s="28" t="str">
        <f>IFERROR(__xludf.DUMMYFUNCTION("""COMPUTED_VALUE"""),"978852280649205334")</f>
        <v>978852280649205334</v>
      </c>
      <c r="H420" s="29" t="str">
        <f>IFERROR(__xludf.DUMMYFUNCTION("""COMPUTED_VALUE"""),"http://bit.ly/Presuncao-de-inocencia")</f>
        <v>http://bit.ly/Presuncao-de-inocencia</v>
      </c>
      <c r="I420" s="24" t="str">
        <f>IFERROR(__xludf.DUMMYFUNCTION("""COMPUTED_VALUE"""),"Ciências Sociais Aplicadas")</f>
        <v>Ciências Sociais Aplicadas</v>
      </c>
    </row>
    <row r="421">
      <c r="A421" s="24" t="str">
        <f>IFERROR(__xludf.DUMMYFUNCTION("""COMPUTED_VALUE"""),"Problemas de direitos fundamentais civis")</f>
        <v>Problemas de direitos fundamentais civis</v>
      </c>
      <c r="B421" s="24" t="str">
        <f>IFERROR(__xludf.DUMMYFUNCTION("""COMPUTED_VALUE"""),"Matheus Felipe de Castro, Andrey Luiz Paterno")</f>
        <v>Matheus Felipe de Castro, Andrey Luiz Paterno</v>
      </c>
      <c r="C421" s="24" t="str">
        <f>IFERROR(__xludf.DUMMYFUNCTION("""COMPUTED_VALUE"""),"Joaçaba")</f>
        <v>Joaçaba</v>
      </c>
      <c r="D421" s="24" t="str">
        <f>IFERROR(__xludf.DUMMYFUNCTION("""COMPUTED_VALUE"""),"Unoesc")</f>
        <v>Unoesc</v>
      </c>
      <c r="E421" s="25">
        <f>IFERROR(__xludf.DUMMYFUNCTION("""COMPUTED_VALUE"""),2017.0)</f>
        <v>2017</v>
      </c>
      <c r="F421" s="24" t="str">
        <f>IFERROR(__xludf.DUMMYFUNCTION("""COMPUTED_VALUE"""),"Direitos fundamentais")</f>
        <v>Direitos fundamentais</v>
      </c>
      <c r="G421" s="28" t="str">
        <f>IFERROR(__xludf.DUMMYFUNCTION("""COMPUTED_VALUE"""),"9788584221516")</f>
        <v>9788584221516</v>
      </c>
      <c r="H421" s="29" t="str">
        <f>IFERROR(__xludf.DUMMYFUNCTION("""COMPUTED_VALUE"""),"https://www.unoesc.edu.br/images/uploads/editora/problemas_de_direitos_fundamentais_civis.pdf")</f>
        <v>https://www.unoesc.edu.br/images/uploads/editora/problemas_de_direitos_fundamentais_civis.pdf</v>
      </c>
      <c r="I421" s="24" t="str">
        <f>IFERROR(__xludf.DUMMYFUNCTION("""COMPUTED_VALUE"""),"Ciências Sociais Aplicadas")</f>
        <v>Ciências Sociais Aplicadas</v>
      </c>
    </row>
    <row r="422">
      <c r="A422" s="24" t="str">
        <f>IFERROR(__xludf.DUMMYFUNCTION("""COMPUTED_VALUE"""),"Procedimentos e técnicas para levantamento de informações socioeconômicas sobre a produção familiar rural acreana")</f>
        <v>Procedimentos e técnicas para levantamento de informações socioeconômicas sobre a produção familiar rural acreana</v>
      </c>
      <c r="B422" s="24" t="str">
        <f>IFERROR(__xludf.DUMMYFUNCTION("""COMPUTED_VALUE"""),"Raimundo Cláudio Gomes Maciel; Ana claudia Felix Rosseto; Keyze Pritih da Costa Campos")</f>
        <v>Raimundo Cláudio Gomes Maciel; Ana claudia Felix Rosseto; Keyze Pritih da Costa Campos</v>
      </c>
      <c r="C422" s="24" t="str">
        <f>IFERROR(__xludf.DUMMYFUNCTION("""COMPUTED_VALUE"""),"Rio Branco")</f>
        <v>Rio Branco</v>
      </c>
      <c r="D422" s="24" t="str">
        <f>IFERROR(__xludf.DUMMYFUNCTION("""COMPUTED_VALUE"""),"Edufac")</f>
        <v>Edufac</v>
      </c>
      <c r="E422" s="25">
        <f>IFERROR(__xludf.DUMMYFUNCTION("""COMPUTED_VALUE"""),2011.0)</f>
        <v>2011</v>
      </c>
      <c r="F422" s="24" t="str">
        <f>IFERROR(__xludf.DUMMYFUNCTION("""COMPUTED_VALUE"""),"Produção familiar rural – Técnicas de procedimentos - Acre; Agricultura familiar rural - Cartilha; Economia agrícola - Acre; Sistemas de produção familiar rural do Acre - cartilha")</f>
        <v>Produção familiar rural – Técnicas de procedimentos - Acre; Agricultura familiar rural - Cartilha; Economia agrícola - Acre; Sistemas de produção familiar rural do Acre - cartilha</v>
      </c>
      <c r="G422" s="28" t="str">
        <f>IFERROR(__xludf.DUMMYFUNCTION("""COMPUTED_VALUE"""),"9788598499987")</f>
        <v>9788598499987</v>
      </c>
      <c r="H422" s="29" t="str">
        <f>IFERROR(__xludf.DUMMYFUNCTION("""COMPUTED_VALUE"""),"http://www2.ufac.br/editora/livros/procedimentos-e-tecnicas-producao-familiar.pdf")</f>
        <v>http://www2.ufac.br/editora/livros/procedimentos-e-tecnicas-producao-familiar.pdf</v>
      </c>
      <c r="I422" s="24" t="str">
        <f>IFERROR(__xludf.DUMMYFUNCTION("""COMPUTED_VALUE"""),"Ciências Sociais Aplicadas")</f>
        <v>Ciências Sociais Aplicadas</v>
      </c>
    </row>
    <row r="423">
      <c r="A423" s="24" t="str">
        <f>IFERROR(__xludf.DUMMYFUNCTION("""COMPUTED_VALUE"""),"Processos educativos na interface Comunicação e Educação")</f>
        <v>Processos educativos na interface Comunicação e Educação</v>
      </c>
      <c r="B423" s="24" t="str">
        <f>IFERROR(__xludf.DUMMYFUNCTION("""COMPUTED_VALUE"""),"Eliana Nagamini, organizadora. ")</f>
        <v>Eliana Nagamini, organizadora. </v>
      </c>
      <c r="C423" s="24" t="str">
        <f>IFERROR(__xludf.DUMMYFUNCTION("""COMPUTED_VALUE"""),"Ilhéus, BA")</f>
        <v>Ilhéus, BA</v>
      </c>
      <c r="D423" s="24" t="str">
        <f>IFERROR(__xludf.DUMMYFUNCTION("""COMPUTED_VALUE"""),"Editus")</f>
        <v>Editus</v>
      </c>
      <c r="E423" s="25">
        <f>IFERROR(__xludf.DUMMYFUNCTION("""COMPUTED_VALUE"""),2016.0)</f>
        <v>2016</v>
      </c>
      <c r="F423" s="24" t="str">
        <f>IFERROR(__xludf.DUMMYFUNCTION("""COMPUTED_VALUE"""),"Comunicação; Comunicação e educação; Comunicação – Estudo e ensino; Comunicacação – Pesquisa")</f>
        <v>Comunicação; Comunicação e educação; Comunicação – Estudo e ensino; Comunicacação – Pesquisa</v>
      </c>
      <c r="G423" s="28" t="str">
        <f>IFERROR(__xludf.DUMMYFUNCTION("""COMPUTED_VALUE"""),"9788574554129")</f>
        <v>9788574554129</v>
      </c>
      <c r="H423" s="29" t="str">
        <f>IFERROR(__xludf.DUMMYFUNCTION("""COMPUTED_VALUE"""),"http://www.uesc.br/editora/livrosdigitais_20170620/com_e_edu2.pdf")</f>
        <v>http://www.uesc.br/editora/livrosdigitais_20170620/com_e_edu2.pdf</v>
      </c>
      <c r="I423" s="24" t="str">
        <f>IFERROR(__xludf.DUMMYFUNCTION("""COMPUTED_VALUE"""),"Ciências Sociais Aplicadas")</f>
        <v>Ciências Sociais Aplicadas</v>
      </c>
    </row>
    <row r="424">
      <c r="A424" s="24" t="str">
        <f>IFERROR(__xludf.DUMMYFUNCTION("""COMPUTED_VALUE"""),"Produção do espaço urbano e regional: leituras de uma cidade média")</f>
        <v>Produção do espaço urbano e regional: leituras de uma cidade média</v>
      </c>
      <c r="B424" s="24" t="str">
        <f>IFERROR(__xludf.DUMMYFUNCTION("""COMPUTED_VALUE"""),"organizado por Maria José Martinelli Silva Calixto, Valéria Ferreira Silva Florentino.")</f>
        <v>organizado por Maria José Martinelli Silva Calixto, Valéria Ferreira Silva Florentino.</v>
      </c>
      <c r="C424" s="24" t="str">
        <f>IFERROR(__xludf.DUMMYFUNCTION("""COMPUTED_VALUE"""),"Dourados, MS")</f>
        <v>Dourados, MS</v>
      </c>
      <c r="D424" s="24" t="str">
        <f>IFERROR(__xludf.DUMMYFUNCTION("""COMPUTED_VALUE"""),"Ed. da UFGD")</f>
        <v>Ed. da UFGD</v>
      </c>
      <c r="E424" s="25">
        <f>IFERROR(__xludf.DUMMYFUNCTION("""COMPUTED_VALUE"""),2016.0)</f>
        <v>2016</v>
      </c>
      <c r="F424" s="24" t="str">
        <f>IFERROR(__xludf.DUMMYFUNCTION("""COMPUTED_VALUE"""),"Cidades médias; Dourados-MS; Espaço urbano")</f>
        <v>Cidades médias; Dourados-MS; Espaço urbano</v>
      </c>
      <c r="G424" s="28" t="str">
        <f>IFERROR(__xludf.DUMMYFUNCTION("""COMPUTED_VALUE"""),"9788581471280")</f>
        <v>9788581471280</v>
      </c>
      <c r="H424" s="29" t="str">
        <f>IFERROR(__xludf.DUMMYFUNCTION("""COMPUTED_VALUE"""),"http://omp.ufgd.edu.br/omp/index.php/livrosabertos/catalog/view/173/173/453-1")</f>
        <v>http://omp.ufgd.edu.br/omp/index.php/livrosabertos/catalog/view/173/173/453-1</v>
      </c>
      <c r="I424" s="24" t="str">
        <f>IFERROR(__xludf.DUMMYFUNCTION("""COMPUTED_VALUE"""),"Ciências Sociais Aplicadas")</f>
        <v>Ciências Sociais Aplicadas</v>
      </c>
    </row>
    <row r="425">
      <c r="A425" s="24" t="str">
        <f>IFERROR(__xludf.DUMMYFUNCTION("""COMPUTED_VALUE"""),"Projeto Comunicar: 25 anos em movimento")</f>
        <v>Projeto Comunicar: 25 anos em movimento</v>
      </c>
      <c r="B425" s="24" t="str">
        <f>IFERROR(__xludf.DUMMYFUNCTION("""COMPUTED_VALUE"""),"Organizadores; Cesar Romero Jacob; Fernando Ferreira; Miguel Pereira; Rita Luquini")</f>
        <v>Organizadores; Cesar Romero Jacob; Fernando Ferreira; Miguel Pereira; Rita Luquini</v>
      </c>
      <c r="C425" s="24" t="str">
        <f>IFERROR(__xludf.DUMMYFUNCTION("""COMPUTED_VALUE"""),"Rio de Janeiro")</f>
        <v>Rio de Janeiro</v>
      </c>
      <c r="D425" s="24" t="str">
        <f>IFERROR(__xludf.DUMMYFUNCTION("""COMPUTED_VALUE"""),"Editora PUC Rio")</f>
        <v>Editora PUC Rio</v>
      </c>
      <c r="E425" s="25">
        <f>IFERROR(__xludf.DUMMYFUNCTION("""COMPUTED_VALUE"""),2012.0)</f>
        <v>2012</v>
      </c>
      <c r="F425" s="24" t="str">
        <f>IFERROR(__xludf.DUMMYFUNCTION("""COMPUTED_VALUE"""),"Comunicação social. Jornalismo")</f>
        <v>Comunicação social. Jornalismo</v>
      </c>
      <c r="G425" s="28" t="str">
        <f>IFERROR(__xludf.DUMMYFUNCTION("""COMPUTED_VALUE"""),"9788580060829")</f>
        <v>9788580060829</v>
      </c>
      <c r="H425" s="29" t="str">
        <f>IFERROR(__xludf.DUMMYFUNCTION("""COMPUTED_VALUE"""),"http://www.editora.puc-rio.br/media/ebook_comunicar_25anos.pdf")</f>
        <v>http://www.editora.puc-rio.br/media/ebook_comunicar_25anos.pdf</v>
      </c>
      <c r="I425" s="24" t="str">
        <f>IFERROR(__xludf.DUMMYFUNCTION("""COMPUTED_VALUE"""),"Ciências Sociais Aplicadas")</f>
        <v>Ciências Sociais Aplicadas</v>
      </c>
    </row>
    <row r="426">
      <c r="A426" s="24" t="str">
        <f>IFERROR(__xludf.DUMMYFUNCTION("""COMPUTED_VALUE"""),"Propriedade intelectual, desenvolvimento e inovação: ambiente institucional e organizações")</f>
        <v>Propriedade intelectual, desenvolvimento e inovação: ambiente institucional e organizações</v>
      </c>
      <c r="B426" s="24" t="str">
        <f>IFERROR(__xludf.DUMMYFUNCTION("""COMPUTED_VALUE"""),"Vieira, Adriana Carvalho Pinto; Zilli, Júlio Cesar; Bruch, Kelly Lissandra")</f>
        <v>Vieira, Adriana Carvalho Pinto; Zilli, Júlio Cesar; Bruch, Kelly Lissandra</v>
      </c>
      <c r="C426" s="24" t="str">
        <f>IFERROR(__xludf.DUMMYFUNCTION("""COMPUTED_VALUE"""),"Criciúma")</f>
        <v>Criciúma</v>
      </c>
      <c r="D426" s="24" t="str">
        <f>IFERROR(__xludf.DUMMYFUNCTION("""COMPUTED_VALUE"""),"EDIUNESC")</f>
        <v>EDIUNESC</v>
      </c>
      <c r="E426" s="25">
        <f>IFERROR(__xludf.DUMMYFUNCTION("""COMPUTED_VALUE"""),2017.0)</f>
        <v>2017</v>
      </c>
      <c r="F426" s="24" t="str">
        <f>IFERROR(__xludf.DUMMYFUNCTION("""COMPUTED_VALUE"""),"Propriedade intelectual; Desenvolvimento regional; Inovação organizacional; Indicação geográfica; Logística empresarial; Internacionalização de empresas; Comércio internacional; Vales da Uva Goethe")</f>
        <v>Propriedade intelectual; Desenvolvimento regional; Inovação organizacional; Indicação geográfica; Logística empresarial; Internacionalização de empresas; Comércio internacional; Vales da Uva Goethe</v>
      </c>
      <c r="G426" s="28" t="str">
        <f>IFERROR(__xludf.DUMMYFUNCTION("""COMPUTED_VALUE"""),"9788584100804")</f>
        <v>9788584100804</v>
      </c>
      <c r="H426" s="29" t="str">
        <f>IFERROR(__xludf.DUMMYFUNCTION("""COMPUTED_VALUE"""),"https://doi.org/10.18616/pidi")</f>
        <v>https://doi.org/10.18616/pidi</v>
      </c>
      <c r="I426" s="24" t="str">
        <f>IFERROR(__xludf.DUMMYFUNCTION("""COMPUTED_VALUE"""),"Ciências Sociais Aplicadas")</f>
        <v>Ciências Sociais Aplicadas</v>
      </c>
    </row>
    <row r="427">
      <c r="A427" s="24" t="str">
        <f>IFERROR(__xludf.DUMMYFUNCTION("""COMPUTED_VALUE"""),"Proteção dos infantes imersos na sociedade da informação")</f>
        <v>Proteção dos infantes imersos na sociedade da informação</v>
      </c>
      <c r="B427" s="24" t="str">
        <f>IFERROR(__xludf.DUMMYFUNCTION("""COMPUTED_VALUE"""),"Cinthya Sander Carbonera")</f>
        <v>Cinthya Sander Carbonera</v>
      </c>
      <c r="C427" s="24" t="str">
        <f>IFERROR(__xludf.DUMMYFUNCTION("""COMPUTED_VALUE"""),"Joaçaba")</f>
        <v>Joaçaba</v>
      </c>
      <c r="D427" s="24" t="str">
        <f>IFERROR(__xludf.DUMMYFUNCTION("""COMPUTED_VALUE"""),"Unoesc")</f>
        <v>Unoesc</v>
      </c>
      <c r="E427" s="25">
        <f>IFERROR(__xludf.DUMMYFUNCTION("""COMPUTED_VALUE"""),2017.0)</f>
        <v>2017</v>
      </c>
      <c r="F427" s="24" t="str">
        <f>IFERROR(__xludf.DUMMYFUNCTION("""COMPUTED_VALUE"""),"Crianças – Inovações tecnológicas, Dignidade, Sociedade da informação")</f>
        <v>Crianças – Inovações tecnológicas, Dignidade, Sociedade da informação</v>
      </c>
      <c r="G427" s="28" t="str">
        <f>IFERROR(__xludf.DUMMYFUNCTION("""COMPUTED_VALUE"""),"9788584221066")</f>
        <v>9788584221066</v>
      </c>
      <c r="H427" s="29" t="str">
        <f>IFERROR(__xludf.DUMMYFUNCTION("""COMPUTED_VALUE"""),"https://www.unoesc.edu.br/images/uploads/editora/protecao_dos_infantes.pdf")</f>
        <v>https://www.unoesc.edu.br/images/uploads/editora/protecao_dos_infantes.pdf</v>
      </c>
      <c r="I427" s="24" t="str">
        <f>IFERROR(__xludf.DUMMYFUNCTION("""COMPUTED_VALUE"""),"Ciências Sociais Aplicadas")</f>
        <v>Ciências Sociais Aplicadas</v>
      </c>
    </row>
    <row r="428">
      <c r="A428" s="24" t="str">
        <f>IFERROR(__xludf.DUMMYFUNCTION("""COMPUTED_VALUE"""),"Protocolo de consulta prévia do Povo Warao em Belém/PA")</f>
        <v>Protocolo de consulta prévia do Povo Warao em Belém/PA</v>
      </c>
      <c r="B428" s="24" t="str">
        <f>IFERROR(__xludf.DUMMYFUNCTION("""COMPUTED_VALUE"""),"Grupo Interinstitucional de Interlocução Warao (org.)")</f>
        <v>Grupo Interinstitucional de Interlocução Warao (org.)</v>
      </c>
      <c r="C428" s="24" t="str">
        <f>IFERROR(__xludf.DUMMYFUNCTION("""COMPUTED_VALUE"""),"Belém")</f>
        <v>Belém</v>
      </c>
      <c r="D428" s="24" t="str">
        <f>IFERROR(__xludf.DUMMYFUNCTION("""COMPUTED_VALUE"""),"UEPA")</f>
        <v>UEPA</v>
      </c>
      <c r="E428" s="25">
        <f>IFERROR(__xludf.DUMMYFUNCTION("""COMPUTED_VALUE"""),2020.0)</f>
        <v>2020</v>
      </c>
      <c r="F428" s="24" t="str">
        <f>IFERROR(__xludf.DUMMYFUNCTION("""COMPUTED_VALUE"""),"Povos indígenas; Índios – Direitos fundamentais; Povo Warao - Belém; Protocolo - Consulta prévia")</f>
        <v>Povos indígenas; Índios – Direitos fundamentais; Povo Warao - Belém; Protocolo - Consulta prévia</v>
      </c>
      <c r="G428" s="28" t="str">
        <f>IFERROR(__xludf.DUMMYFUNCTION("""COMPUTED_VALUE"""),"9786588106006")</f>
        <v>9786588106006</v>
      </c>
      <c r="H428" s="29" t="str">
        <f>IFERROR(__xludf.DUMMYFUNCTION("""COMPUTED_VALUE"""),"https://paginas.uepa.br/eduepa/wp-content/uploads/2020/07/protocolo_warao.pdf")</f>
        <v>https://paginas.uepa.br/eduepa/wp-content/uploads/2020/07/protocolo_warao.pdf</v>
      </c>
      <c r="I428" s="24" t="str">
        <f>IFERROR(__xludf.DUMMYFUNCTION("""COMPUTED_VALUE"""),"Ciências Sociais Aplicadas")</f>
        <v>Ciências Sociais Aplicadas</v>
      </c>
    </row>
    <row r="429">
      <c r="A429" s="24" t="str">
        <f>IFERROR(__xludf.DUMMYFUNCTION("""COMPUTED_VALUE"""),"Pueblos indígenas: reflexiones contemporáneas desde Brasil")</f>
        <v>Pueblos indígenas: reflexiones contemporáneas desde Brasil</v>
      </c>
      <c r="B429" s="24" t="str">
        <f>IFERROR(__xludf.DUMMYFUNCTION("""COMPUTED_VALUE"""),"Thaís Janaina Wenczenovicz")</f>
        <v>Thaís Janaina Wenczenovicz</v>
      </c>
      <c r="C429" s="24" t="str">
        <f>IFERROR(__xludf.DUMMYFUNCTION("""COMPUTED_VALUE"""),"Joaçaba")</f>
        <v>Joaçaba</v>
      </c>
      <c r="D429" s="24" t="str">
        <f>IFERROR(__xludf.DUMMYFUNCTION("""COMPUTED_VALUE"""),"Unoesc")</f>
        <v>Unoesc</v>
      </c>
      <c r="E429" s="25">
        <f>IFERROR(__xludf.DUMMYFUNCTION("""COMPUTED_VALUE"""),2017.0)</f>
        <v>2017</v>
      </c>
      <c r="F429" s="24" t="str">
        <f>IFERROR(__xludf.DUMMYFUNCTION("""COMPUTED_VALUE"""),"Direitos fundamentais, Índios – Legislação")</f>
        <v>Direitos fundamentais, Índios – Legislação</v>
      </c>
      <c r="G429" s="28" t="str">
        <f>IFERROR(__xludf.DUMMYFUNCTION("""COMPUTED_VALUE"""),"9788584221462")</f>
        <v>9788584221462</v>
      </c>
      <c r="H429" s="29" t="str">
        <f>IFERROR(__xludf.DUMMYFUNCTION("""COMPUTED_VALUE"""),"https://www.unoesc.edu.br/images/uploads/editora/Pueblos_ind%c3%adgenas_reflexiones_contemporaneas_desde_Brasil.pdf")</f>
        <v>https://www.unoesc.edu.br/images/uploads/editora/Pueblos_ind%c3%adgenas_reflexiones_contemporaneas_desde_Brasil.pdf</v>
      </c>
      <c r="I429" s="24" t="str">
        <f>IFERROR(__xludf.DUMMYFUNCTION("""COMPUTED_VALUE"""),"Ciências Sociais Aplicadas")</f>
        <v>Ciências Sociais Aplicadas</v>
      </c>
    </row>
    <row r="430">
      <c r="A430" s="24" t="str">
        <f>IFERROR(__xludf.DUMMYFUNCTION("""COMPUTED_VALUE"""),"Pueblos indígenas: reflexiones decoloniais")</f>
        <v>Pueblos indígenas: reflexiones decoloniais</v>
      </c>
      <c r="B430" s="24" t="str">
        <f>IFERROR(__xludf.DUMMYFUNCTION("""COMPUTED_VALUE"""),"Thais Janaina Wenczenovicz")</f>
        <v>Thais Janaina Wenczenovicz</v>
      </c>
      <c r="C430" s="24" t="str">
        <f>IFERROR(__xludf.DUMMYFUNCTION("""COMPUTED_VALUE"""),"Joaçaba")</f>
        <v>Joaçaba</v>
      </c>
      <c r="D430" s="24" t="str">
        <f>IFERROR(__xludf.DUMMYFUNCTION("""COMPUTED_VALUE"""),"Unoesc")</f>
        <v>Unoesc</v>
      </c>
      <c r="E430" s="25">
        <f>IFERROR(__xludf.DUMMYFUNCTION("""COMPUTED_VALUE"""),2018.0)</f>
        <v>2018</v>
      </c>
      <c r="F430" s="24" t="str">
        <f>IFERROR(__xludf.DUMMYFUNCTION("""COMPUTED_VALUE"""),"Direito")</f>
        <v>Direito</v>
      </c>
      <c r="G430" s="28" t="str">
        <f>IFERROR(__xludf.DUMMYFUNCTION("""COMPUTED_VALUE"""),"9788584221851")</f>
        <v>9788584221851</v>
      </c>
      <c r="H430" s="29" t="str">
        <f>IFERROR(__xludf.DUMMYFUNCTION("""COMPUTED_VALUE"""),"https://www.unoesc.edu.br/images/uploads/editora/Miolo_Pueblos_Indigenas.pdf")</f>
        <v>https://www.unoesc.edu.br/images/uploads/editora/Miolo_Pueblos_Indigenas.pdf</v>
      </c>
      <c r="I430" s="24" t="str">
        <f>IFERROR(__xludf.DUMMYFUNCTION("""COMPUTED_VALUE"""),"Ciências Sociais Aplicadas")</f>
        <v>Ciências Sociais Aplicadas</v>
      </c>
    </row>
    <row r="431">
      <c r="A431" s="24" t="str">
        <f>IFERROR(__xludf.DUMMYFUNCTION("""COMPUTED_VALUE"""),"Que modernidade são essas? Estudo da arquitetura moderna da Paraíba nas casas da orla marítima de João Pessoa (1960 a 1974)")</f>
        <v>Que modernidade são essas? Estudo da arquitetura moderna da Paraíba nas casas da orla marítima de João Pessoa (1960 a 1974)</v>
      </c>
      <c r="B431" s="24" t="str">
        <f>IFERROR(__xludf.DUMMYFUNCTION("""COMPUTED_VALUE"""),"Roberta Xavier da Costa")</f>
        <v>Roberta Xavier da Costa</v>
      </c>
      <c r="C431" s="24" t="str">
        <f>IFERROR(__xludf.DUMMYFUNCTION("""COMPUTED_VALUE"""),"João Pessoa")</f>
        <v>João Pessoa</v>
      </c>
      <c r="D431" s="24" t="str">
        <f>IFERROR(__xludf.DUMMYFUNCTION("""COMPUTED_VALUE"""),"Editora IFPB")</f>
        <v>Editora IFPB</v>
      </c>
      <c r="E431" s="25">
        <f>IFERROR(__xludf.DUMMYFUNCTION("""COMPUTED_VALUE"""),2017.0)</f>
        <v>2017</v>
      </c>
      <c r="F431" s="24" t="str">
        <f>IFERROR(__xludf.DUMMYFUNCTION("""COMPUTED_VALUE"""),"Arquitetura moderna; História; Análise vitruviana; Casa de praia")</f>
        <v>Arquitetura moderna; História; Análise vitruviana; Casa de praia</v>
      </c>
      <c r="G431" s="28" t="str">
        <f>IFERROR(__xludf.DUMMYFUNCTION("""COMPUTED_VALUE"""),"9788563406927")</f>
        <v>9788563406927</v>
      </c>
      <c r="H431" s="29" t="str">
        <f>IFERROR(__xludf.DUMMYFUNCTION("""COMPUTED_VALUE"""),"http://editora.ifpb.edu.br/index.php/ifpb/catalog/book/78")</f>
        <v>http://editora.ifpb.edu.br/index.php/ifpb/catalog/book/78</v>
      </c>
      <c r="I431" s="24" t="str">
        <f>IFERROR(__xludf.DUMMYFUNCTION("""COMPUTED_VALUE"""),"Ciências Sociais Aplicadas")</f>
        <v>Ciências Sociais Aplicadas</v>
      </c>
    </row>
    <row r="432">
      <c r="A432" s="24" t="str">
        <f>IFERROR(__xludf.DUMMYFUNCTION("""COMPUTED_VALUE"""),"Quem tem medo do Cururu? Padrões da cultura política e decoro parlamentar na cassação do mandato do Vereador Cururu, em Pelotas-RS")</f>
        <v>Quem tem medo do Cururu? Padrões da cultura política e decoro parlamentar na cassação do mandato do Vereador Cururu, em Pelotas-RS</v>
      </c>
      <c r="B432" s="24" t="str">
        <f>IFERROR(__xludf.DUMMYFUNCTION("""COMPUTED_VALUE"""),"Soares, Celso Maclove Souza")</f>
        <v>Soares, Celso Maclove Souza</v>
      </c>
      <c r="C432" s="24" t="str">
        <f>IFERROR(__xludf.DUMMYFUNCTION("""COMPUTED_VALUE"""),"Pelotas")</f>
        <v>Pelotas</v>
      </c>
      <c r="D432" s="24" t="str">
        <f>IFERROR(__xludf.DUMMYFUNCTION("""COMPUTED_VALUE"""),"UFPel")</f>
        <v>UFPel</v>
      </c>
      <c r="E432" s="25">
        <f>IFERROR(__xludf.DUMMYFUNCTION("""COMPUTED_VALUE"""),2017.0)</f>
        <v>2017</v>
      </c>
      <c r="F432" s="24" t="str">
        <f>IFERROR(__xludf.DUMMYFUNCTION("""COMPUTED_VALUE"""),"Ciência política; Cultura política; Decoro parlamentar; Cassação de mandato")</f>
        <v>Ciência política; Cultura política; Decoro parlamentar; Cassação de mandato</v>
      </c>
      <c r="G432" s="28" t="str">
        <f>IFERROR(__xludf.DUMMYFUNCTION("""COMPUTED_VALUE"""),"9788551700044")</f>
        <v>9788551700044</v>
      </c>
      <c r="H432" s="29" t="str">
        <f>IFERROR(__xludf.DUMMYFUNCTION("""COMPUTED_VALUE"""),"http://repositorio.ufpel.edu.br:8080/bitstream/prefix/3797/1/1_QUEM%20TEM%20MEDO%20DO%20CURURU_SÉRIE%20PÓS%20GRADUAÇÃO.pdf")</f>
        <v>http://repositorio.ufpel.edu.br:8080/bitstream/prefix/3797/1/1_QUEM%20TEM%20MEDO%20DO%20CURURU_SÉRIE%20PÓS%20GRADUAÇÃO.pdf</v>
      </c>
      <c r="I432" s="24" t="str">
        <f>IFERROR(__xludf.DUMMYFUNCTION("""COMPUTED_VALUE"""),"Ciências Sociais Aplicadas")</f>
        <v>Ciências Sociais Aplicadas</v>
      </c>
    </row>
    <row r="433">
      <c r="A433" s="24" t="str">
        <f>IFERROR(__xludf.DUMMYFUNCTION("""COMPUTED_VALUE"""),"Questão Social e Políticas Públicas na Atualidade")</f>
        <v>Questão Social e Políticas Públicas na Atualidade</v>
      </c>
      <c r="B433" s="24" t="str">
        <f>IFERROR(__xludf.DUMMYFUNCTION("""COMPUTED_VALUE"""),"Maria do Rosário de Fátima e Silva; Maria D'Alva Macedo Ferreira; Simone de Jesus Guimarães (org.)")</f>
        <v>Maria do Rosário de Fátima e Silva; Maria D'Alva Macedo Ferreira; Simone de Jesus Guimarães (org.)</v>
      </c>
      <c r="C433" s="24" t="str">
        <f>IFERROR(__xludf.DUMMYFUNCTION("""COMPUTED_VALUE"""),"Teresina")</f>
        <v>Teresina</v>
      </c>
      <c r="D433" s="24" t="str">
        <f>IFERROR(__xludf.DUMMYFUNCTION("""COMPUTED_VALUE"""),"EDUFPI")</f>
        <v>EDUFPI</v>
      </c>
      <c r="E433" s="25">
        <f>IFERROR(__xludf.DUMMYFUNCTION("""COMPUTED_VALUE"""),2017.0)</f>
        <v>2017</v>
      </c>
      <c r="F433" s="24" t="str">
        <f>IFERROR(__xludf.DUMMYFUNCTION("""COMPUTED_VALUE"""),"Questão Social; Políticas Públicas; Gestão Pública; Planejamento e Avaliação")</f>
        <v>Questão Social; Políticas Públicas; Gestão Pública; Planejamento e Avaliação</v>
      </c>
      <c r="G433" s="28" t="str">
        <f>IFERROR(__xludf.DUMMYFUNCTION("""COMPUTED_VALUE"""),"9788550901992")</f>
        <v>9788550901992</v>
      </c>
      <c r="H433" s="29" t="str">
        <f>IFERROR(__xludf.DUMMYFUNCTION("""COMPUTED_VALUE"""),"https://www.ufpi.br/arquivos_download/arquivos/EDUFPI/Livro_valendo210818.pdf")</f>
        <v>https://www.ufpi.br/arquivos_download/arquivos/EDUFPI/Livro_valendo210818.pdf</v>
      </c>
      <c r="I433" s="24" t="str">
        <f>IFERROR(__xludf.DUMMYFUNCTION("""COMPUTED_VALUE"""),"Ciências Sociais Aplicadas")</f>
        <v>Ciências Sociais Aplicadas</v>
      </c>
    </row>
    <row r="434">
      <c r="A434" s="24" t="str">
        <f>IFERROR(__xludf.DUMMYFUNCTION("""COMPUTED_VALUE"""),"Questões teóricas e formação profi ssional em comunicação e educação ")</f>
        <v>Questões teóricas e formação profi ssional em comunicação e educação </v>
      </c>
      <c r="B434" s="24" t="str">
        <f>IFERROR(__xludf.DUMMYFUNCTION("""COMPUTED_VALUE"""),"Eliana Nagamini, organizadora. ")</f>
        <v>Eliana Nagamini, organizadora. </v>
      </c>
      <c r="C434" s="24" t="str">
        <f>IFERROR(__xludf.DUMMYFUNCTION("""COMPUTED_VALUE"""),"Ilhéus, BA")</f>
        <v>Ilhéus, BA</v>
      </c>
      <c r="D434" s="24" t="str">
        <f>IFERROR(__xludf.DUMMYFUNCTION("""COMPUTED_VALUE"""),"Editus")</f>
        <v>Editus</v>
      </c>
      <c r="E434" s="25">
        <f>IFERROR(__xludf.DUMMYFUNCTION("""COMPUTED_VALUE"""),2016.0)</f>
        <v>2016</v>
      </c>
      <c r="F434" s="24" t="str">
        <f>IFERROR(__xludf.DUMMYFUNCTION("""COMPUTED_VALUE"""),"Comunicação; Comunicação e educação; Comunicação – Estudo e ensino; Comunicacação – Pesquisa")</f>
        <v>Comunicação; Comunicação e educação; Comunicação – Estudo e ensino; Comunicacação – Pesquisa</v>
      </c>
      <c r="G434" s="28" t="str">
        <f>IFERROR(__xludf.DUMMYFUNCTION("""COMPUTED_VALUE"""),"9788574554112")</f>
        <v>9788574554112</v>
      </c>
      <c r="H434" s="29" t="str">
        <f>IFERROR(__xludf.DUMMYFUNCTION("""COMPUTED_VALUE"""),"http://www.uesc.br/editora/livrosdigitais2017/serie_comunicacao_educacao_vol1.pdf")</f>
        <v>http://www.uesc.br/editora/livrosdigitais2017/serie_comunicacao_educacao_vol1.pdf</v>
      </c>
      <c r="I434" s="24" t="str">
        <f>IFERROR(__xludf.DUMMYFUNCTION("""COMPUTED_VALUE"""),"Ciências Sociais Aplicadas")</f>
        <v>Ciências Sociais Aplicadas</v>
      </c>
    </row>
    <row r="435">
      <c r="A435" s="24" t="str">
        <f>IFERROR(__xludf.DUMMYFUNCTION("""COMPUTED_VALUE"""),"Rasgos literários na prosa jornalística: o Novo Jornalismo em Radical Chique e em A Sangue Frio")</f>
        <v>Rasgos literários na prosa jornalística: o Novo Jornalismo em Radical Chique e em A Sangue Frio</v>
      </c>
      <c r="B435" s="24" t="str">
        <f>IFERROR(__xludf.DUMMYFUNCTION("""COMPUTED_VALUE"""),"FRANCISCO AQUINEI TIMÓTEO QUEIRÓS")</f>
        <v>FRANCISCO AQUINEI TIMÓTEO QUEIRÓS</v>
      </c>
      <c r="C435" s="24" t="str">
        <f>IFERROR(__xludf.DUMMYFUNCTION("""COMPUTED_VALUE"""),"Rio Branco")</f>
        <v>Rio Branco</v>
      </c>
      <c r="D435" s="24" t="str">
        <f>IFERROR(__xludf.DUMMYFUNCTION("""COMPUTED_VALUE"""),"Edufac")</f>
        <v>Edufac</v>
      </c>
      <c r="E435" s="25">
        <f>IFERROR(__xludf.DUMMYFUNCTION("""COMPUTED_VALUE"""),2016.0)</f>
        <v>2016</v>
      </c>
      <c r="F435" s="24" t="str">
        <f>IFERROR(__xludf.DUMMYFUNCTION("""COMPUTED_VALUE"""),"Novo jornalismo; Literatura; Reportagem em forma literária")</f>
        <v>Novo jornalismo; Literatura; Reportagem em forma literária</v>
      </c>
      <c r="G435" s="28" t="str">
        <f>IFERROR(__xludf.DUMMYFUNCTION("""COMPUTED_VALUE"""),"9788582360040")</f>
        <v>9788582360040</v>
      </c>
      <c r="H435" s="29" t="str">
        <f>IFERROR(__xludf.DUMMYFUNCTION("""COMPUTED_VALUE"""),"http://www2.ufac.br/editora/livros/rasgos-literarios.pdf")</f>
        <v>http://www2.ufac.br/editora/livros/rasgos-literarios.pdf</v>
      </c>
      <c r="I435" s="24" t="str">
        <f>IFERROR(__xludf.DUMMYFUNCTION("""COMPUTED_VALUE"""),"Ciências Sociais Aplicadas")</f>
        <v>Ciências Sociais Aplicadas</v>
      </c>
    </row>
    <row r="436">
      <c r="A436" s="24" t="str">
        <f>IFERROR(__xludf.DUMMYFUNCTION("""COMPUTED_VALUE"""),"Reforma Trabalhista : Primeiras Impressões")</f>
        <v>Reforma Trabalhista : Primeiras Impressões</v>
      </c>
      <c r="B436" s="24" t="str">
        <f>IFERROR(__xludf.DUMMYFUNCTION("""COMPUTED_VALUE"""),"Rosangela Tremel; Ricardo Calcini (org.)")</f>
        <v>Rosangela Tremel; Ricardo Calcini (org.)</v>
      </c>
      <c r="C436" s="24" t="str">
        <f>IFERROR(__xludf.DUMMYFUNCTION("""COMPUTED_VALUE"""),"Campina Grande")</f>
        <v>Campina Grande</v>
      </c>
      <c r="D436" s="24" t="str">
        <f>IFERROR(__xludf.DUMMYFUNCTION("""COMPUTED_VALUE"""),"EDUEPB")</f>
        <v>EDUEPB</v>
      </c>
      <c r="E436" s="25">
        <f>IFERROR(__xludf.DUMMYFUNCTION("""COMPUTED_VALUE"""),2018.0)</f>
        <v>2018</v>
      </c>
      <c r="F436" s="24" t="str">
        <f>IFERROR(__xludf.DUMMYFUNCTION("""COMPUTED_VALUE"""),"Direito do Trabalho – Brasil. Reforma trabalhista - Aplicabilidade. Lei Nº 13.467/2017 – Brasil. Jornada de trabalho. Teletrabalho – Brasil")</f>
        <v>Direito do Trabalho – Brasil. Reforma trabalhista - Aplicabilidade. Lei Nº 13.467/2017 – Brasil. Jornada de trabalho. Teletrabalho – Brasil</v>
      </c>
      <c r="G436" s="28" t="str">
        <f>IFERROR(__xludf.DUMMYFUNCTION("""COMPUTED_VALUE"""),"9788578795290")</f>
        <v>9788578795290</v>
      </c>
      <c r="H436" s="29" t="str">
        <f>IFERROR(__xludf.DUMMYFUNCTION("""COMPUTED_VALUE"""),"http://eduepb.uepb.edu.br/download/reforma-trabalhista/?wpdmdl=566&amp;amp;masterkey=5c0a6cee891bf")</f>
        <v>http://eduepb.uepb.edu.br/download/reforma-trabalhista/?wpdmdl=566&amp;amp;masterkey=5c0a6cee891bf</v>
      </c>
      <c r="I436" s="24" t="str">
        <f>IFERROR(__xludf.DUMMYFUNCTION("""COMPUTED_VALUE"""),"Ciências Sociais Aplicadas")</f>
        <v>Ciências Sociais Aplicadas</v>
      </c>
    </row>
    <row r="437">
      <c r="A437" s="24" t="str">
        <f>IFERROR(__xludf.DUMMYFUNCTION("""COMPUTED_VALUE"""),"Refugiados Ambientais")</f>
        <v>Refugiados Ambientais</v>
      </c>
      <c r="B437" s="24" t="str">
        <f>IFERROR(__xludf.DUMMYFUNCTION("""COMPUTED_VALUE"""),"Liliana Lyra Jubilut; Érika Pires Ramos; Carolina de Abreu Batista Claro; Fernanda de Salles Cavedon-Capdeville (org.)")</f>
        <v>Liliana Lyra Jubilut; Érika Pires Ramos; Carolina de Abreu Batista Claro; Fernanda de Salles Cavedon-Capdeville (org.)</v>
      </c>
      <c r="C437" s="24" t="str">
        <f>IFERROR(__xludf.DUMMYFUNCTION("""COMPUTED_VALUE"""),"Boa Vista ")</f>
        <v>Boa Vista </v>
      </c>
      <c r="D437" s="24" t="str">
        <f>IFERROR(__xludf.DUMMYFUNCTION("""COMPUTED_VALUE"""),"UFRR")</f>
        <v>UFRR</v>
      </c>
      <c r="E437" s="25">
        <f>IFERROR(__xludf.DUMMYFUNCTION("""COMPUTED_VALUE"""),2018.0)</f>
        <v>2018</v>
      </c>
      <c r="F437" s="24" t="str">
        <f>IFERROR(__xludf.DUMMYFUNCTION("""COMPUTED_VALUE"""),"Migrantes; Refugiados; Direitos humanos; Meio ambiente; Migrações;Geografia humana")</f>
        <v>Migrantes; Refugiados; Direitos humanos; Meio ambiente; Migrações;Geografia humana</v>
      </c>
      <c r="G437" s="28" t="str">
        <f>IFERROR(__xludf.DUMMYFUNCTION("""COMPUTED_VALUE"""),"9788582881477")</f>
        <v>9788582881477</v>
      </c>
      <c r="H437" s="29" t="str">
        <f>IFERROR(__xludf.DUMMYFUNCTION("""COMPUTED_VALUE"""),"http://ufrr.br/editora/index.php/editais?download=401:refugiados-ambientais")</f>
        <v>http://ufrr.br/editora/index.php/editais?download=401:refugiados-ambientais</v>
      </c>
      <c r="I437" s="24" t="str">
        <f>IFERROR(__xludf.DUMMYFUNCTION("""COMPUTED_VALUE"""),"Ciências Sociais Aplicadas")</f>
        <v>Ciências Sociais Aplicadas</v>
      </c>
    </row>
    <row r="438">
      <c r="A438" s="24" t="str">
        <f>IFERROR(__xludf.DUMMYFUNCTION("""COMPUTED_VALUE"""),"Relaciones de poder en la gestión comunitaria del água")</f>
        <v>Relaciones de poder en la gestión comunitaria del água</v>
      </c>
      <c r="B438" s="24" t="str">
        <f>IFERROR(__xludf.DUMMYFUNCTION("""COMPUTED_VALUE"""),"María Guadalupe Díaz Santos")</f>
        <v>María Guadalupe Díaz Santos</v>
      </c>
      <c r="C438" s="24" t="str">
        <f>IFERROR(__xludf.DUMMYFUNCTION("""COMPUTED_VALUE"""),"Campina Grande")</f>
        <v>Campina Grande</v>
      </c>
      <c r="D438" s="24" t="str">
        <f>IFERROR(__xludf.DUMMYFUNCTION("""COMPUTED_VALUE"""),"EDUEPB")</f>
        <v>EDUEPB</v>
      </c>
      <c r="E438" s="25">
        <f>IFERROR(__xludf.DUMMYFUNCTION("""COMPUTED_VALUE"""),2018.0)</f>
        <v>2018</v>
      </c>
      <c r="F438" s="24" t="str">
        <f>IFERROR(__xludf.DUMMYFUNCTION("""COMPUTED_VALUE"""),"Agua. Espacio Social. La gestión pública. Gestión comunitaria del agua")</f>
        <v>Agua. Espacio Social. La gestión pública. Gestión comunitaria del agua</v>
      </c>
      <c r="G438" s="28" t="str">
        <f>IFERROR(__xludf.DUMMYFUNCTION("""COMPUTED_VALUE"""),"9788578793890")</f>
        <v>9788578793890</v>
      </c>
      <c r="H438" s="29" t="str">
        <f>IFERROR(__xludf.DUMMYFUNCTION("""COMPUTED_VALUE"""),"http://eduepb.uepb.edu.br/download/relaciones-de-poder-en-la-gestion-comunitaria-del-agua-el-territorio-y-lo-social-como-fuerzas/?wpdmdl=381&amp;amp;masterkey=5b04301b692c9")</f>
        <v>http://eduepb.uepb.edu.br/download/relaciones-de-poder-en-la-gestion-comunitaria-del-agua-el-territorio-y-lo-social-como-fuerzas/?wpdmdl=381&amp;amp;masterkey=5b04301b692c9</v>
      </c>
      <c r="I438" s="24" t="str">
        <f>IFERROR(__xludf.DUMMYFUNCTION("""COMPUTED_VALUE"""),"Ciências Sociais Aplicadas")</f>
        <v>Ciências Sociais Aplicadas</v>
      </c>
    </row>
    <row r="439">
      <c r="A439" s="24" t="str">
        <f>IFERROR(__xludf.DUMMYFUNCTION("""COMPUTED_VALUE"""),"Relações internacionais na sala de aula: ensino e aprendizado ativo e outras estórias")</f>
        <v>Relações internacionais na sala de aula: ensino e aprendizado ativo e outras estórias</v>
      </c>
      <c r="B439" s="24" t="str">
        <f>IFERROR(__xludf.DUMMYFUNCTION("""COMPUTED_VALUE"""),"Cristina Yumie Aoki Inoue; Marcelo M. Valença (org.)")</f>
        <v>Cristina Yumie Aoki Inoue; Marcelo M. Valença (org.)</v>
      </c>
      <c r="C439" s="24" t="str">
        <f>IFERROR(__xludf.DUMMYFUNCTION("""COMPUTED_VALUE"""),"Campina Grande")</f>
        <v>Campina Grande</v>
      </c>
      <c r="D439" s="24" t="str">
        <f>IFERROR(__xludf.DUMMYFUNCTION("""COMPUTED_VALUE"""),"EDUEPB")</f>
        <v>EDUEPB</v>
      </c>
      <c r="E439" s="25">
        <f>IFERROR(__xludf.DUMMYFUNCTION("""COMPUTED_VALUE"""),2018.0)</f>
        <v>2018</v>
      </c>
      <c r="F439" s="24" t="str">
        <f>IFERROR(__xludf.DUMMYFUNCTION("""COMPUTED_VALUE"""),"Relações Internacionais. Ensino em relações internacionais. Sociedade da informação. Processos de globalização")</f>
        <v>Relações Internacionais. Ensino em relações internacionais. Sociedade da informação. Processos de globalização</v>
      </c>
      <c r="G439" s="28" t="str">
        <f>IFERROR(__xludf.DUMMYFUNCTION("""COMPUTED_VALUE"""),"9788578793753")</f>
        <v>9788578793753</v>
      </c>
      <c r="H439" s="29" t="str">
        <f>IFERROR(__xludf.DUMMYFUNCTION("""COMPUTED_VALUE"""),"http://eduepb.uepb.edu.br/download/relacoes-internacionais-na-sala-de-aula-ensino-e-aprendizado-ativo-e-outras-estorias/?wpdmdl=406&amp;amp;masterkey=5b2bcd6dcaf3a")</f>
        <v>http://eduepb.uepb.edu.br/download/relacoes-internacionais-na-sala-de-aula-ensino-e-aprendizado-ativo-e-outras-estorias/?wpdmdl=406&amp;amp;masterkey=5b2bcd6dcaf3a</v>
      </c>
      <c r="I439" s="24" t="str">
        <f>IFERROR(__xludf.DUMMYFUNCTION("""COMPUTED_VALUE"""),"Ciências Sociais Aplicadas")</f>
        <v>Ciências Sociais Aplicadas</v>
      </c>
    </row>
    <row r="440">
      <c r="A440" s="24" t="str">
        <f>IFERROR(__xludf.DUMMYFUNCTION("""COMPUTED_VALUE"""),"Relatório de Pesquisa: escuta qualificada para um novo Ensino Médio")</f>
        <v>Relatório de Pesquisa: escuta qualificada para um novo Ensino Médio</v>
      </c>
      <c r="B440" s="24" t="str">
        <f>IFERROR(__xludf.DUMMYFUNCTION("""COMPUTED_VALUE"""),"Eliane Salete Filippim, Alessandra Nichele Magro, Patrícia Aparecida Pedroso e Márcio Giusti Trevisol")</f>
        <v>Eliane Salete Filippim, Alessandra Nichele Magro, Patrícia Aparecida Pedroso e Márcio Giusti Trevisol</v>
      </c>
      <c r="C440" s="24" t="str">
        <f>IFERROR(__xludf.DUMMYFUNCTION("""COMPUTED_VALUE"""),"Joaçaba")</f>
        <v>Joaçaba</v>
      </c>
      <c r="D440" s="24" t="str">
        <f>IFERROR(__xludf.DUMMYFUNCTION("""COMPUTED_VALUE"""),"Unoesc")</f>
        <v>Unoesc</v>
      </c>
      <c r="E440" s="25">
        <f>IFERROR(__xludf.DUMMYFUNCTION("""COMPUTED_VALUE"""),2019.0)</f>
        <v>2019</v>
      </c>
      <c r="F440" s="24" t="str">
        <f>IFERROR(__xludf.DUMMYFUNCTION("""COMPUTED_VALUE"""),"Ensino médio, Reforma do ensino, Planejamento educaciona")</f>
        <v>Ensino médio, Reforma do ensino, Planejamento educaciona</v>
      </c>
      <c r="G440" s="28" t="str">
        <f>IFERROR(__xludf.DUMMYFUNCTION("""COMPUTED_VALUE"""),"9788584222131")</f>
        <v>9788584222131</v>
      </c>
      <c r="H440" s="29" t="str">
        <f>IFERROR(__xludf.DUMMYFUNCTION("""COMPUTED_VALUE"""),"https://www.unoesc.edu.br/images/uploads/editora/Miolo_relatório_ISBN_online.pdf")</f>
        <v>https://www.unoesc.edu.br/images/uploads/editora/Miolo_relatório_ISBN_online.pdf</v>
      </c>
      <c r="I440" s="24" t="str">
        <f>IFERROR(__xludf.DUMMYFUNCTION("""COMPUTED_VALUE"""),"Ciências Sociais Aplicadas")</f>
        <v>Ciências Sociais Aplicadas</v>
      </c>
    </row>
    <row r="441">
      <c r="A441" s="24" t="str">
        <f>IFERROR(__xludf.DUMMYFUNCTION("""COMPUTED_VALUE"""),"Relatos de experiências exitosas das IES: formação do docente do Ensino Superior, assistência estudantil e assistência pedagógica")</f>
        <v>Relatos de experiências exitosas das IES: formação do docente do Ensino Superior, assistência estudantil e assistência pedagógica</v>
      </c>
      <c r="B441" s="24" t="str">
        <f>IFERROR(__xludf.DUMMYFUNCTION("""COMPUTED_VALUE"""),"Elenita Conegero Pastor Manchope; Andréa de Araújo; Kathia Marise Borges Sales; Laurence Duarte Colvara; Nara Lúcia Perondi Fortes; Paulo Sérgio Wolff; Soraia Cristina Tonon da Luz; Vera Lúcia da Rocha Maquêa (org.)")</f>
        <v>Elenita Conegero Pastor Manchope; Andréa de Araújo; Kathia Marise Borges Sales; Laurence Duarte Colvara; Nara Lúcia Perondi Fortes; Paulo Sérgio Wolff; Soraia Cristina Tonon da Luz; Vera Lúcia da Rocha Maquêa (org.)</v>
      </c>
      <c r="C441" s="24" t="str">
        <f>IFERROR(__xludf.DUMMYFUNCTION("""COMPUTED_VALUE"""),"Cascavel, PR")</f>
        <v>Cascavel, PR</v>
      </c>
      <c r="D441" s="24" t="str">
        <f>IFERROR(__xludf.DUMMYFUNCTION("""COMPUTED_VALUE"""),"EDUNIOESTE")</f>
        <v>EDUNIOESTE</v>
      </c>
      <c r="E441" s="25">
        <f>IFERROR(__xludf.DUMMYFUNCTION("""COMPUTED_VALUE"""),2017.0)</f>
        <v>2017</v>
      </c>
      <c r="F441" s="24" t="str">
        <f>IFERROR(__xludf.DUMMYFUNCTION("""COMPUTED_VALUE"""),"Ensino superior. Universidades estaduais. Assistência estudantil Assistência pedagógica")</f>
        <v>Ensino superior. Universidades estaduais. Assistência estudantil Assistência pedagógica</v>
      </c>
      <c r="G441" s="28" t="str">
        <f>IFERROR(__xludf.DUMMYFUNCTION("""COMPUTED_VALUE"""),"9788576443353")</f>
        <v>9788576443353</v>
      </c>
      <c r="H441" s="29" t="str">
        <f>IFERROR(__xludf.DUMMYFUNCTION("""COMPUTED_VALUE"""),"https://portal-archipelagus.azurewebsites.net/farol/edunioeste/ebook/relatos-de-experiencias-exitosas-das-ies-formacao-do-docente-do-ensino-superior-assistencia-estudantil-e-assistencia-pedagogica/1204359/")</f>
        <v>https://portal-archipelagus.azurewebsites.net/farol/edunioeste/ebook/relatos-de-experiencias-exitosas-das-ies-formacao-do-docente-do-ensino-superior-assistencia-estudantil-e-assistencia-pedagogica/1204359/</v>
      </c>
      <c r="I441" s="24" t="str">
        <f>IFERROR(__xludf.DUMMYFUNCTION("""COMPUTED_VALUE"""),"Ciências Sociais Aplicadas")</f>
        <v>Ciências Sociais Aplicadas</v>
      </c>
    </row>
    <row r="442">
      <c r="A442" s="24" t="str">
        <f>IFERROR(__xludf.DUMMYFUNCTION("""COMPUTED_VALUE"""),"Repensando a ciência do processo na busca da tutela judicial efetiva: a (necessária) passagem do paradigma moderno ao paradigma da complexidade")</f>
        <v>Repensando a ciência do processo na busca da tutela judicial efetiva: a (necessária) passagem do paradigma moderno ao paradigma da complexidade</v>
      </c>
      <c r="B442" s="24" t="str">
        <f>IFERROR(__xludf.DUMMYFUNCTION("""COMPUTED_VALUE"""),"Paulo Junior Trindade dos Santos, Gabriela Samrsla Moller")</f>
        <v>Paulo Junior Trindade dos Santos, Gabriela Samrsla Moller</v>
      </c>
      <c r="C442" s="24" t="str">
        <f>IFERROR(__xludf.DUMMYFUNCTION("""COMPUTED_VALUE"""),"Joaçaba")</f>
        <v>Joaçaba</v>
      </c>
      <c r="D442" s="24" t="str">
        <f>IFERROR(__xludf.DUMMYFUNCTION("""COMPUTED_VALUE"""),"Unoesc")</f>
        <v>Unoesc</v>
      </c>
      <c r="E442" s="25">
        <f>IFERROR(__xludf.DUMMYFUNCTION("""COMPUTED_VALUE"""),2020.0)</f>
        <v>2020</v>
      </c>
      <c r="F442" s="24" t="str">
        <f>IFERROR(__xludf.DUMMYFUNCTION("""COMPUTED_VALUE"""),"Processo civil Direito processual Hermenêutica (Direito)")</f>
        <v>Processo civil Direito processual Hermenêutica (Direito)</v>
      </c>
      <c r="G442" s="28" t="str">
        <f>IFERROR(__xludf.DUMMYFUNCTION("""COMPUTED_VALUE"""),"9786586158106")</f>
        <v>9786586158106</v>
      </c>
      <c r="H442" s="29" t="str">
        <f>IFERROR(__xludf.DUMMYFUNCTION("""COMPUTED_VALUE"""),"https://www.unoesc.edu.br/images/uploads/editora/Miolo_-_Repensando_a_Ciência.pdf")</f>
        <v>https://www.unoesc.edu.br/images/uploads/editora/Miolo_-_Repensando_a_Ciência.pdf</v>
      </c>
      <c r="I442" s="24" t="str">
        <f>IFERROR(__xludf.DUMMYFUNCTION("""COMPUTED_VALUE"""),"Ciências Sociais Aplicadas")</f>
        <v>Ciências Sociais Aplicadas</v>
      </c>
    </row>
    <row r="443">
      <c r="A443" s="24" t="str">
        <f>IFERROR(__xludf.DUMMYFUNCTION("""COMPUTED_VALUE"""),"Representações da violência e da punição na justiça informal criminal . /")</f>
        <v>Representações da violência e da punição na justiça informal criminal . /</v>
      </c>
      <c r="B443" s="24" t="str">
        <f>IFERROR(__xludf.DUMMYFUNCTION("""COMPUTED_VALUE"""),"André Luiz Faisting")</f>
        <v>André Luiz Faisting</v>
      </c>
      <c r="C443" s="24" t="str">
        <f>IFERROR(__xludf.DUMMYFUNCTION("""COMPUTED_VALUE"""),"Dourados, MS")</f>
        <v>Dourados, MS</v>
      </c>
      <c r="D443" s="24" t="str">
        <f>IFERROR(__xludf.DUMMYFUNCTION("""COMPUTED_VALUE"""),"Editora da UFGD")</f>
        <v>Editora da UFGD</v>
      </c>
      <c r="E443" s="25">
        <f>IFERROR(__xludf.DUMMYFUNCTION("""COMPUTED_VALUE"""),2009.0)</f>
        <v>2009</v>
      </c>
      <c r="F443" s="24" t="str">
        <f>IFERROR(__xludf.DUMMYFUNCTION("""COMPUTED_VALUE"""),"Juizados Especiais Criminais - Brasil; Tribunais Penais - Brasil; Sociologia Jurídica; Violência (Representação)")</f>
        <v>Juizados Especiais Criminais - Brasil; Tribunais Penais - Brasil; Sociologia Jurídica; Violência (Representação)</v>
      </c>
      <c r="G443" s="28" t="str">
        <f>IFERROR(__xludf.DUMMYFUNCTION("""COMPUTED_VALUE"""),"9788561228323")</f>
        <v>9788561228323</v>
      </c>
      <c r="H443" s="29" t="str">
        <f>IFERROR(__xludf.DUMMYFUNCTION("""COMPUTED_VALUE"""),"http://omp.ufgd.edu.br/omp/index.php/livrosabertos/catalog/view/181/166/446-1")</f>
        <v>http://omp.ufgd.edu.br/omp/index.php/livrosabertos/catalog/view/181/166/446-1</v>
      </c>
      <c r="I443" s="24" t="str">
        <f>IFERROR(__xludf.DUMMYFUNCTION("""COMPUTED_VALUE"""),"Ciências Sociais Aplicadas")</f>
        <v>Ciências Sociais Aplicadas</v>
      </c>
    </row>
    <row r="444">
      <c r="A444" s="24" t="str">
        <f>IFERROR(__xludf.DUMMYFUNCTION("""COMPUTED_VALUE"""),"Representações e turismo: imagens e práticas socio-culturais no espaço ")</f>
        <v>Representações e turismo: imagens e práticas socio-culturais no espaço </v>
      </c>
      <c r="B444" s="24" t="str">
        <f>IFERROR(__xludf.DUMMYFUNCTION("""COMPUTED_VALUE"""),"Natanael Reis Bomfim (org.)")</f>
        <v>Natanael Reis Bomfim (org.)</v>
      </c>
      <c r="C444" s="24" t="str">
        <f>IFERROR(__xludf.DUMMYFUNCTION("""COMPUTED_VALUE"""),"Ilhéus, BA")</f>
        <v>Ilhéus, BA</v>
      </c>
      <c r="D444" s="24" t="str">
        <f>IFERROR(__xludf.DUMMYFUNCTION("""COMPUTED_VALUE"""),"Editus")</f>
        <v>Editus</v>
      </c>
      <c r="E444" s="25">
        <f>IFERROR(__xludf.DUMMYFUNCTION("""COMPUTED_VALUE"""),2016.0)</f>
        <v>2016</v>
      </c>
      <c r="F444" s="24" t="str">
        <f>IFERROR(__xludf.DUMMYFUNCTION("""COMPUTED_VALUE"""),"Turismo; Turismo - Aspectos sociais")</f>
        <v>Turismo; Turismo - Aspectos sociais</v>
      </c>
      <c r="G444" s="28" t="str">
        <f>IFERROR(__xludf.DUMMYFUNCTION("""COMPUTED_VALUE"""),"9788574553597")</f>
        <v>9788574553597</v>
      </c>
      <c r="H444" s="29" t="str">
        <f>IFERROR(__xludf.DUMMYFUNCTION("""COMPUTED_VALUE"""),"http://www.uesc.br/editora/livrosdigitais2018/repre-tur.pdf")</f>
        <v>http://www.uesc.br/editora/livrosdigitais2018/repre-tur.pdf</v>
      </c>
      <c r="I444" s="24" t="str">
        <f>IFERROR(__xludf.DUMMYFUNCTION("""COMPUTED_VALUE"""),"Ciências Sociais Aplicadas")</f>
        <v>Ciências Sociais Aplicadas</v>
      </c>
    </row>
    <row r="445">
      <c r="A445" s="24" t="str">
        <f>IFERROR(__xludf.DUMMYFUNCTION("""COMPUTED_VALUE"""),"Revelando o invisível: o mundo do trabalho na atividade turística em bonito-ms")</f>
        <v>Revelando o invisível: o mundo do trabalho na atividade turística em bonito-ms</v>
      </c>
      <c r="B445" s="24" t="str">
        <f>IFERROR(__xludf.DUMMYFUNCTION("""COMPUTED_VALUE"""),"Gilson Kleber Lomba")</f>
        <v>Gilson Kleber Lomba</v>
      </c>
      <c r="C445" s="24" t="str">
        <f>IFERROR(__xludf.DUMMYFUNCTION("""COMPUTED_VALUE"""),"Dourados, MS")</f>
        <v>Dourados, MS</v>
      </c>
      <c r="D445" s="24" t="str">
        <f>IFERROR(__xludf.DUMMYFUNCTION("""COMPUTED_VALUE"""),"Editora da UFGD")</f>
        <v>Editora da UFGD</v>
      </c>
      <c r="E445" s="25">
        <f>IFERROR(__xludf.DUMMYFUNCTION("""COMPUTED_VALUE"""),2013.0)</f>
        <v>2013</v>
      </c>
      <c r="F445" s="24" t="str">
        <f>IFERROR(__xludf.DUMMYFUNCTION("""COMPUTED_VALUE"""),"Turismo – Bonito/MS; Economia turística. Viagem de recreio – Atividade econômica")</f>
        <v>Turismo – Bonito/MS; Economia turística. Viagem de recreio – Atividade econômica</v>
      </c>
      <c r="G445" s="28" t="str">
        <f>IFERROR(__xludf.DUMMYFUNCTION("""COMPUTED_VALUE"""),"9788561228941")</f>
        <v>9788561228941</v>
      </c>
      <c r="H445" s="29" t="str">
        <f>IFERROR(__xludf.DUMMYFUNCTION("""COMPUTED_VALUE"""),"http://omp.ufgd.edu.br/omp/index.php/livrosabertos/catalog/view/54/54/138-1")</f>
        <v>http://omp.ufgd.edu.br/omp/index.php/livrosabertos/catalog/view/54/54/138-1</v>
      </c>
      <c r="I445" s="24" t="str">
        <f>IFERROR(__xludf.DUMMYFUNCTION("""COMPUTED_VALUE"""),"Ciências Sociais Aplicadas")</f>
        <v>Ciências Sociais Aplicadas</v>
      </c>
    </row>
    <row r="446">
      <c r="A446" s="24" t="str">
        <f>IFERROR(__xludf.DUMMYFUNCTION("""COMPUTED_VALUE"""),"Saberes jurídicos: direitos humanos, teoria da justiça e meio ambiente")</f>
        <v>Saberes jurídicos: direitos humanos, teoria da justiça e meio ambiente</v>
      </c>
      <c r="B446" s="24" t="str">
        <f>IFERROR(__xludf.DUMMYFUNCTION("""COMPUTED_VALUE"""),"Organização; Renata Lourenço")</f>
        <v>Organização; Renata Lourenço</v>
      </c>
      <c r="C446" s="24" t="str">
        <f>IFERROR(__xludf.DUMMYFUNCTION("""COMPUTED_VALUE"""),"Cáceres")</f>
        <v>Cáceres</v>
      </c>
      <c r="D446" s="24" t="str">
        <f>IFERROR(__xludf.DUMMYFUNCTION("""COMPUTED_VALUE"""),"UNEMAT")</f>
        <v>UNEMAT</v>
      </c>
      <c r="E446" s="25">
        <f>IFERROR(__xludf.DUMMYFUNCTION("""COMPUTED_VALUE"""),2020.0)</f>
        <v>2020</v>
      </c>
      <c r="F446" s="24" t="str">
        <f>IFERROR(__xludf.DUMMYFUNCTION("""COMPUTED_VALUE"""),"Direitos humanos; Justiça - teoria; Meio ambiente")</f>
        <v>Direitos humanos; Justiça - teoria; Meio ambiente</v>
      </c>
      <c r="G446" s="28" t="str">
        <f>IFERROR(__xludf.DUMMYFUNCTION("""COMPUTED_VALUE"""),"9788579112102")</f>
        <v>9788579112102</v>
      </c>
      <c r="H446" s="29" t="str">
        <f>IFERROR(__xludf.DUMMYFUNCTION("""COMPUTED_VALUE"""),"http://portal.unemat.br/media/files/Editora/Saberes%20Juridicos%20-%20E-book%20-%20Aprova%C3%A7%C3%A3o%20final.pdf")</f>
        <v>http://portal.unemat.br/media/files/Editora/Saberes%20Juridicos%20-%20E-book%20-%20Aprova%C3%A7%C3%A3o%20final.pdf</v>
      </c>
      <c r="I446" s="24" t="str">
        <f>IFERROR(__xludf.DUMMYFUNCTION("""COMPUTED_VALUE"""),"Ciências Sociais Aplicadas")</f>
        <v>Ciências Sociais Aplicadas</v>
      </c>
    </row>
    <row r="447">
      <c r="A447" s="24" t="str">
        <f>IFERROR(__xludf.DUMMYFUNCTION("""COMPUTED_VALUE"""),"Saúde do Trabalhador: a efetividade da proteção coletiva")</f>
        <v>Saúde do Trabalhador: a efetividade da proteção coletiva</v>
      </c>
      <c r="B447" s="24" t="str">
        <f>IFERROR(__xludf.DUMMYFUNCTION("""COMPUTED_VALUE"""),"Clésia Oliveira Pachú et al")</f>
        <v>Clésia Oliveira Pachú et al</v>
      </c>
      <c r="C447" s="24" t="str">
        <f>IFERROR(__xludf.DUMMYFUNCTION("""COMPUTED_VALUE"""),"Campina Grande")</f>
        <v>Campina Grande</v>
      </c>
      <c r="D447" s="24" t="str">
        <f>IFERROR(__xludf.DUMMYFUNCTION("""COMPUTED_VALUE"""),"EDUEPB")</f>
        <v>EDUEPB</v>
      </c>
      <c r="E447" s="25">
        <f>IFERROR(__xludf.DUMMYFUNCTION("""COMPUTED_VALUE"""),2019.0)</f>
        <v>2019</v>
      </c>
      <c r="F447" s="24" t="str">
        <f>IFERROR(__xludf.DUMMYFUNCTION("""COMPUTED_VALUE"""),"Saúde - Aspectos sociais. Qualidade de vida no trabalho. Políticas educacionais. Direitos sociais - doenças. Saúde pública. Alcoolismo. Tabagismo. Drogas - prevenção. Política de saúde - Brasil ")</f>
        <v>Saúde - Aspectos sociais. Qualidade de vida no trabalho. Políticas educacionais. Direitos sociais - doenças. Saúde pública. Alcoolismo. Tabagismo. Drogas - prevenção. Política de saúde - Brasil </v>
      </c>
      <c r="G447" s="28" t="str">
        <f>IFERROR(__xludf.DUMMYFUNCTION("""COMPUTED_VALUE"""),"9788578794798")</f>
        <v>9788578794798</v>
      </c>
      <c r="H447" s="29" t="str">
        <f>IFERROR(__xludf.DUMMYFUNCTION("""COMPUTED_VALUE"""),"http://eduepb.uepb.edu.br/download/saude-do-trabalhador/?wpdmdl=617&amp;amp;masterkey=5caf51dc9f0dd")</f>
        <v>http://eduepb.uepb.edu.br/download/saude-do-trabalhador/?wpdmdl=617&amp;amp;masterkey=5caf51dc9f0dd</v>
      </c>
      <c r="I447" s="24" t="str">
        <f>IFERROR(__xludf.DUMMYFUNCTION("""COMPUTED_VALUE"""),"Ciências Sociais Aplicadas")</f>
        <v>Ciências Sociais Aplicadas</v>
      </c>
    </row>
    <row r="448">
      <c r="A448" s="24" t="str">
        <f>IFERROR(__xludf.DUMMYFUNCTION("""COMPUTED_VALUE"""),"Saúde e segurança do trabalho")</f>
        <v>Saúde e segurança do trabalho</v>
      </c>
      <c r="B448" s="24" t="str">
        <f>IFERROR(__xludf.DUMMYFUNCTION("""COMPUTED_VALUE"""),"Rafaela dos Santos Jales (org.)")</f>
        <v>Rafaela dos Santos Jales (org.)</v>
      </c>
      <c r="C448" s="24" t="str">
        <f>IFERROR(__xludf.DUMMYFUNCTION("""COMPUTED_VALUE"""),"Campina Grande")</f>
        <v>Campina Grande</v>
      </c>
      <c r="D448" s="24" t="str">
        <f>IFERROR(__xludf.DUMMYFUNCTION("""COMPUTED_VALUE"""),"EDUEPB")</f>
        <v>EDUEPB</v>
      </c>
      <c r="E448" s="25">
        <f>IFERROR(__xludf.DUMMYFUNCTION("""COMPUTED_VALUE"""),2020.0)</f>
        <v>2020</v>
      </c>
      <c r="F448" s="24" t="str">
        <f>IFERROR(__xludf.DUMMYFUNCTION("""COMPUTED_VALUE"""),"Direito do trabalhador. Legislação trabalhista. Segurança do trabalho. Trabalhador - Direitos fundamentais e sociais. Mercado de trabalho - Inclusão - Pessoas com deficiência")</f>
        <v>Direito do trabalhador. Legislação trabalhista. Segurança do trabalho. Trabalhador - Direitos fundamentais e sociais. Mercado de trabalho - Inclusão - Pessoas com deficiência</v>
      </c>
      <c r="G448" s="28" t="str">
        <f>IFERROR(__xludf.DUMMYFUNCTION("""COMPUTED_VALUE"""),"9786586221152")</f>
        <v>9786586221152</v>
      </c>
      <c r="H448" s="29" t="str">
        <f>IFERROR(__xludf.DUMMYFUNCTION("""COMPUTED_VALUE"""),"http://eduepb.uepb.edu.br/download/saude-e-seguranca-do-trabalho/?wpdmdl=1155&amp;#038;masterkey=5f5a931b35e2a")</f>
        <v>http://eduepb.uepb.edu.br/download/saude-e-seguranca-do-trabalho/?wpdmdl=1155&amp;#038;masterkey=5f5a931b35e2a</v>
      </c>
      <c r="I448" s="24" t="str">
        <f>IFERROR(__xludf.DUMMYFUNCTION("""COMPUTED_VALUE"""),"Ciências Sociais Aplicadas")</f>
        <v>Ciências Sociais Aplicadas</v>
      </c>
    </row>
    <row r="449">
      <c r="A449" s="24" t="str">
        <f>IFERROR(__xludf.DUMMYFUNCTION("""COMPUTED_VALUE"""),"Segurança alimentar e relações internacionais (disponível temporariamente)")</f>
        <v>Segurança alimentar e relações internacionais (disponível temporariamente)</v>
      </c>
      <c r="B449" s="24" t="str">
        <f>IFERROR(__xludf.DUMMYFUNCTION("""COMPUTED_VALUE"""),"Thiago Lima")</f>
        <v>Thiago Lima</v>
      </c>
      <c r="C449" s="24" t="str">
        <f>IFERROR(__xludf.DUMMYFUNCTION("""COMPUTED_VALUE"""),"João Pessoa")</f>
        <v>João Pessoa</v>
      </c>
      <c r="D449" s="24" t="str">
        <f>IFERROR(__xludf.DUMMYFUNCTION("""COMPUTED_VALUE"""),"Editora da UFPB")</f>
        <v>Editora da UFPB</v>
      </c>
      <c r="E449" s="25">
        <f>IFERROR(__xludf.DUMMYFUNCTION("""COMPUTED_VALUE"""),2019.0)</f>
        <v>2019</v>
      </c>
      <c r="F449" s="24" t="str">
        <f>IFERROR(__xludf.DUMMYFUNCTION("""COMPUTED_VALUE"""),"Segurança – alimentar – relações - internacionais. Alimentos. Alimentação - Brasil")</f>
        <v>Segurança – alimentar – relações - internacionais. Alimentos. Alimentação - Brasil</v>
      </c>
      <c r="G449" s="28" t="str">
        <f>IFERROR(__xludf.DUMMYFUNCTION("""COMPUTED_VALUE"""),"9788523713997")</f>
        <v>9788523713997</v>
      </c>
      <c r="H449" s="29" t="str">
        <f>IFERROR(__xludf.DUMMYFUNCTION("""COMPUTED_VALUE"""),"http://www.editora.ufpb.br/sistema/press5/index.php/UFPB/catalog/book/317")</f>
        <v>http://www.editora.ufpb.br/sistema/press5/index.php/UFPB/catalog/book/317</v>
      </c>
      <c r="I449" s="24" t="str">
        <f>IFERROR(__xludf.DUMMYFUNCTION("""COMPUTED_VALUE"""),"Ciências Sociais Aplicadas")</f>
        <v>Ciências Sociais Aplicadas</v>
      </c>
    </row>
    <row r="450">
      <c r="A450" s="24" t="str">
        <f>IFERROR(__xludf.DUMMYFUNCTION("""COMPUTED_VALUE"""),"Segurança da informação: Uma visão sistêmica para implantação em organizações")</f>
        <v>Segurança da informação: Uma visão sistêmica para implantação em organizações</v>
      </c>
      <c r="B450" s="24" t="str">
        <f>IFERROR(__xludf.DUMMYFUNCTION("""COMPUTED_VALUE"""),"Pedro Tenório Mascarenhas Neto, Wagner Junqueira Araújo")</f>
        <v>Pedro Tenório Mascarenhas Neto, Wagner Junqueira Araújo</v>
      </c>
      <c r="C450" s="24" t="str">
        <f>IFERROR(__xludf.DUMMYFUNCTION("""COMPUTED_VALUE"""),"João Pessoa")</f>
        <v>João Pessoa</v>
      </c>
      <c r="D450" s="24" t="str">
        <f>IFERROR(__xludf.DUMMYFUNCTION("""COMPUTED_VALUE"""),"Editora da UFPB")</f>
        <v>Editora da UFPB</v>
      </c>
      <c r="E450" s="25">
        <f>IFERROR(__xludf.DUMMYFUNCTION("""COMPUTED_VALUE"""),2019.0)</f>
        <v>2019</v>
      </c>
      <c r="F450" s="24" t="str">
        <f>IFERROR(__xludf.DUMMYFUNCTION("""COMPUTED_VALUE"""),"Segurança da informação. Informação. Segurança")</f>
        <v>Segurança da informação. Informação. Segurança</v>
      </c>
      <c r="G450" s="28" t="str">
        <f>IFERROR(__xludf.DUMMYFUNCTION("""COMPUTED_VALUE"""),"9788523714734")</f>
        <v>9788523714734</v>
      </c>
      <c r="H450" s="29" t="str">
        <f>IFERROR(__xludf.DUMMYFUNCTION("""COMPUTED_VALUE"""),"http://www.editora.ufpb.br/sistema/press5/index.php/UFPB/catalog/book/209")</f>
        <v>http://www.editora.ufpb.br/sistema/press5/index.php/UFPB/catalog/book/209</v>
      </c>
      <c r="I450" s="24" t="str">
        <f>IFERROR(__xludf.DUMMYFUNCTION("""COMPUTED_VALUE"""),"Ciências Sociais Aplicadas")</f>
        <v>Ciências Sociais Aplicadas</v>
      </c>
    </row>
    <row r="451">
      <c r="A451" s="24" t="str">
        <f>IFERROR(__xludf.DUMMYFUNCTION("""COMPUTED_VALUE"""),"Segurança Social, Direitos fundamentais e a Agenda do Desenvolvimento Sustentável")</f>
        <v>Segurança Social, Direitos fundamentais e a Agenda do Desenvolvimento Sustentável</v>
      </c>
      <c r="B451" s="24" t="str">
        <f>IFERROR(__xludf.DUMMYFUNCTION("""COMPUTED_VALUE"""),"Carlos Luiz Strapazzon")</f>
        <v>Carlos Luiz Strapazzon</v>
      </c>
      <c r="C451" s="24" t="str">
        <f>IFERROR(__xludf.DUMMYFUNCTION("""COMPUTED_VALUE"""),"Joaçaba")</f>
        <v>Joaçaba</v>
      </c>
      <c r="D451" s="24" t="str">
        <f>IFERROR(__xludf.DUMMYFUNCTION("""COMPUTED_VALUE"""),"Unoesc")</f>
        <v>Unoesc</v>
      </c>
      <c r="E451" s="25">
        <f>IFERROR(__xludf.DUMMYFUNCTION("""COMPUTED_VALUE"""),2019.0)</f>
        <v>2019</v>
      </c>
      <c r="F451" s="24" t="str">
        <f>IFERROR(__xludf.DUMMYFUNCTION("""COMPUTED_VALUE"""),"Direitos fundamentais, Direitos humanos, Desenvolvimento sustentável")</f>
        <v>Direitos fundamentais, Direitos humanos, Desenvolvimento sustentável</v>
      </c>
      <c r="G451" s="28" t="str">
        <f>IFERROR(__xludf.DUMMYFUNCTION("""COMPUTED_VALUE"""),"9788584222254")</f>
        <v>9788584222254</v>
      </c>
      <c r="H451" s="29" t="str">
        <f>IFERROR(__xludf.DUMMYFUNCTION("""COMPUTED_VALUE"""),"https://www.unoesc.edu.br/images/uploads/editora/Segurança_Social,_Direitos_fundamentais_e_a_Agenda_do_Desenvolvimento_Sustentável_2.pdf")</f>
        <v>https://www.unoesc.edu.br/images/uploads/editora/Segurança_Social,_Direitos_fundamentais_e_a_Agenda_do_Desenvolvimento_Sustentável_2.pdf</v>
      </c>
      <c r="I451" s="24" t="str">
        <f>IFERROR(__xludf.DUMMYFUNCTION("""COMPUTED_VALUE"""),"Ciências Sociais Aplicadas")</f>
        <v>Ciências Sociais Aplicadas</v>
      </c>
    </row>
    <row r="452">
      <c r="A452" s="24" t="str">
        <f>IFERROR(__xludf.DUMMYFUNCTION("""COMPUTED_VALUE"""),"Seminário De Saberes Arquivísticos Interfaces Do Aprendizado Na Universidade")</f>
        <v>Seminário De Saberes Arquivísticos Interfaces Do Aprendizado Na Universidade</v>
      </c>
      <c r="B452" s="24" t="str">
        <f>IFERROR(__xludf.DUMMYFUNCTION("""COMPUTED_VALUE"""),"Eliete Correia dos Santos; Josemar Henrique de Melo; Claudialyne da Silva Araújo (org.)")</f>
        <v>Eliete Correia dos Santos; Josemar Henrique de Melo; Claudialyne da Silva Araújo (org.)</v>
      </c>
      <c r="C452" s="24" t="str">
        <f>IFERROR(__xludf.DUMMYFUNCTION("""COMPUTED_VALUE"""),"Campina Grande")</f>
        <v>Campina Grande</v>
      </c>
      <c r="D452" s="24" t="str">
        <f>IFERROR(__xludf.DUMMYFUNCTION("""COMPUTED_VALUE"""),"EDUEPB")</f>
        <v>EDUEPB</v>
      </c>
      <c r="E452" s="25">
        <f>IFERROR(__xludf.DUMMYFUNCTION("""COMPUTED_VALUE"""),2017.0)</f>
        <v>2017</v>
      </c>
      <c r="F452" s="24" t="str">
        <f>IFERROR(__xludf.DUMMYFUNCTION("""COMPUTED_VALUE"""),"Arquivologia. Projeto SESA. Curso de Arquivologia na UEPB. Preservação de documentos. Éticca profissional de arquivo")</f>
        <v>Arquivologia. Projeto SESA. Curso de Arquivologia na UEPB. Preservação de documentos. Éticca profissional de arquivo</v>
      </c>
      <c r="G452" s="28" t="str">
        <f>IFERROR(__xludf.DUMMYFUNCTION("""COMPUTED_VALUE"""),"9788578794569")</f>
        <v>9788578794569</v>
      </c>
      <c r="H452" s="29" t="str">
        <f>IFERROR(__xludf.DUMMYFUNCTION("""COMPUTED_VALUE"""),"http://eduepb.uepb.edu.br/download/seminario-de-saberes-arquivisticos-interfaces-do-aprendizado-na-universidade/?wpdmdl=210&amp;amp;masterkey=5af9a1ba7ed26")</f>
        <v>http://eduepb.uepb.edu.br/download/seminario-de-saberes-arquivisticos-interfaces-do-aprendizado-na-universidade/?wpdmdl=210&amp;amp;masterkey=5af9a1ba7ed26</v>
      </c>
      <c r="I452" s="24" t="str">
        <f>IFERROR(__xludf.DUMMYFUNCTION("""COMPUTED_VALUE"""),"Ciências Sociais Aplicadas")</f>
        <v>Ciências Sociais Aplicadas</v>
      </c>
    </row>
    <row r="453">
      <c r="A453" s="24" t="str">
        <f>IFERROR(__xludf.DUMMYFUNCTION("""COMPUTED_VALUE"""),"Seminário do Programa de Educação Superior para o Desenvolvimento Regional – Proesde")</f>
        <v>Seminário do Programa de Educação Superior para o Desenvolvimento Regional – Proesde</v>
      </c>
      <c r="B453" s="24" t="str">
        <f>IFERROR(__xludf.DUMMYFUNCTION("""COMPUTED_VALUE"""),"Tânia Maria dos Santos Nodari")</f>
        <v>Tânia Maria dos Santos Nodari</v>
      </c>
      <c r="C453" s="24" t="str">
        <f>IFERROR(__xludf.DUMMYFUNCTION("""COMPUTED_VALUE"""),"Joaçaba")</f>
        <v>Joaçaba</v>
      </c>
      <c r="D453" s="24" t="str">
        <f>IFERROR(__xludf.DUMMYFUNCTION("""COMPUTED_VALUE"""),"Unoesc")</f>
        <v>Unoesc</v>
      </c>
      <c r="E453" s="25">
        <f>IFERROR(__xludf.DUMMYFUNCTION("""COMPUTED_VALUE"""),2018.0)</f>
        <v>2018</v>
      </c>
      <c r="F453" s="24" t="str">
        <f>IFERROR(__xludf.DUMMYFUNCTION("""COMPUTED_VALUE"""),"Ensino superior; Extensão universitária; Desenvolvimento regional")</f>
        <v>Ensino superior; Extensão universitária; Desenvolvimento regional</v>
      </c>
      <c r="G453" s="28" t="str">
        <f>IFERROR(__xludf.DUMMYFUNCTION("""COMPUTED_VALUE"""),"9788584221820")</f>
        <v>9788584221820</v>
      </c>
      <c r="H453" s="29" t="str">
        <f>IFERROR(__xludf.DUMMYFUNCTION("""COMPUTED_VALUE"""),"https://www.unoesc.edu.br/images/uploads/editora/Miolo_-_Proesde.pdf")</f>
        <v>https://www.unoesc.edu.br/images/uploads/editora/Miolo_-_Proesde.pdf</v>
      </c>
      <c r="I453" s="24" t="str">
        <f>IFERROR(__xludf.DUMMYFUNCTION("""COMPUTED_VALUE"""),"Ciências Sociais Aplicadas")</f>
        <v>Ciências Sociais Aplicadas</v>
      </c>
    </row>
    <row r="454">
      <c r="A454" s="24" t="str">
        <f>IFERROR(__xludf.DUMMYFUNCTION("""COMPUTED_VALUE"""),"Sergio Bernardes: doutrina de uma civilização tropical")</f>
        <v>Sergio Bernardes: doutrina de uma civilização tropical</v>
      </c>
      <c r="B454" s="24" t="str">
        <f>IFERROR(__xludf.DUMMYFUNCTION("""COMPUTED_VALUE"""),"FELIPE GUANAES")</f>
        <v>FELIPE GUANAES</v>
      </c>
      <c r="C454" s="24" t="str">
        <f>IFERROR(__xludf.DUMMYFUNCTION("""COMPUTED_VALUE"""),"Rio de Janeiro")</f>
        <v>Rio de Janeiro</v>
      </c>
      <c r="D454" s="24" t="str">
        <f>IFERROR(__xludf.DUMMYFUNCTION("""COMPUTED_VALUE"""),"Editora PUC Rio")</f>
        <v>Editora PUC Rio</v>
      </c>
      <c r="E454" s="25">
        <f>IFERROR(__xludf.DUMMYFUNCTION("""COMPUTED_VALUE"""),2016.0)</f>
        <v>2016</v>
      </c>
      <c r="F454" s="24" t="str">
        <f>IFERROR(__xludf.DUMMYFUNCTION("""COMPUTED_VALUE"""),"Bernardes, Sergio, 1919-2002")</f>
        <v>Bernardes, Sergio, 1919-2002</v>
      </c>
      <c r="G454" s="28" t="str">
        <f>IFERROR(__xludf.DUMMYFUNCTION("""COMPUTED_VALUE"""),"9788580062151")</f>
        <v>9788580062151</v>
      </c>
      <c r="H454" s="29" t="str">
        <f>IFERROR(__xludf.DUMMYFUNCTION("""COMPUTED_VALUE"""),"http://www.editora.puc-rio.br/media/Sergio%20Bernardes%20-%20e-book.pdf")</f>
        <v>http://www.editora.puc-rio.br/media/Sergio%20Bernardes%20-%20e-book.pdf</v>
      </c>
      <c r="I454" s="24" t="str">
        <f>IFERROR(__xludf.DUMMYFUNCTION("""COMPUTED_VALUE"""),"Ciências Sociais Aplicadas")</f>
        <v>Ciências Sociais Aplicadas</v>
      </c>
    </row>
    <row r="455">
      <c r="A455" s="24" t="str">
        <f>IFERROR(__xludf.DUMMYFUNCTION("""COMPUTED_VALUE"""),"Serviço de acolhimento em família acolhedora: a tempestade passa. A vida continua")</f>
        <v>Serviço de acolhimento em família acolhedora: a tempestade passa. A vida continua</v>
      </c>
      <c r="B455" s="24" t="str">
        <f>IFERROR(__xludf.DUMMYFUNCTION("""COMPUTED_VALUE"""),"Ehlers, Luís Claiton Medeiros; Soratto, Jacks")</f>
        <v>Ehlers, Luís Claiton Medeiros; Soratto, Jacks</v>
      </c>
      <c r="C455" s="24" t="str">
        <f>IFERROR(__xludf.DUMMYFUNCTION("""COMPUTED_VALUE"""),"Criciúma")</f>
        <v>Criciúma</v>
      </c>
      <c r="D455" s="24" t="str">
        <f>IFERROR(__xludf.DUMMYFUNCTION("""COMPUTED_VALUE"""),"Unesc")</f>
        <v>Unesc</v>
      </c>
      <c r="E455" s="25">
        <f>IFERROR(__xludf.DUMMYFUNCTION("""COMPUTED_VALUE"""),2020.0)</f>
        <v>2020</v>
      </c>
      <c r="F455" s="24" t="str">
        <f>IFERROR(__xludf.DUMMYFUNCTION("""COMPUTED_VALUE"""),"Acolhimento – Manuais, guias, etc. – Histórias em quadrinhos; Criança acolhida; Família acolhedora; Proteção social")</f>
        <v>Acolhimento – Manuais, guias, etc. – Histórias em quadrinhos; Criança acolhida; Família acolhedora; Proteção social</v>
      </c>
      <c r="G455" s="28" t="str">
        <f>IFERROR(__xludf.DUMMYFUNCTION("""COMPUTED_VALUE"""),"9786587458045")</f>
        <v>9786587458045</v>
      </c>
      <c r="H455" s="29" t="str">
        <f>IFERROR(__xludf.DUMMYFUNCTION("""COMPUTED_VALUE"""),"https://doi.org/10.18616/acolhimento")</f>
        <v>https://doi.org/10.18616/acolhimento</v>
      </c>
      <c r="I455" s="24" t="str">
        <f>IFERROR(__xludf.DUMMYFUNCTION("""COMPUTED_VALUE"""),"Ciências Sociais Aplicadas")</f>
        <v>Ciências Sociais Aplicadas</v>
      </c>
    </row>
    <row r="456">
      <c r="A456" s="24" t="str">
        <f>IFERROR(__xludf.DUMMYFUNCTION("""COMPUTED_VALUE"""),"Sintaxe Catarina")</f>
        <v>Sintaxe Catarina</v>
      </c>
      <c r="B456" s="24" t="str">
        <f>IFERROR(__xludf.DUMMYFUNCTION("""COMPUTED_VALUE"""),"Bueno, Ayrton P.; Reis, Almir F.;Saboya, Renato T. de (org.)")</f>
        <v>Bueno, Ayrton P.; Reis, Almir F.;Saboya, Renato T. de (org.)</v>
      </c>
      <c r="C456" s="24" t="str">
        <f>IFERROR(__xludf.DUMMYFUNCTION("""COMPUTED_VALUE"""),"Florianópolis")</f>
        <v>Florianópolis</v>
      </c>
      <c r="D456" s="24" t="str">
        <f>IFERROR(__xludf.DUMMYFUNCTION("""COMPUTED_VALUE"""),"Editora da UFSC")</f>
        <v>Editora da UFSC</v>
      </c>
      <c r="E456" s="25">
        <f>IFERROR(__xludf.DUMMYFUNCTION("""COMPUTED_VALUE"""),2017.0)</f>
        <v>2017</v>
      </c>
      <c r="F456" s="24" t="str">
        <f>IFERROR(__xludf.DUMMYFUNCTION("""COMPUTED_VALUE"""),"Arquitetura;Planejamento urbano;Espaços políticos;Florianópolis SC")</f>
        <v>Arquitetura;Planejamento urbano;Espaços políticos;Florianópolis SC</v>
      </c>
      <c r="G456" s="28" t="str">
        <f>IFERROR(__xludf.DUMMYFUNCTION("""COMPUTED_VALUE"""),"9788532808059")</f>
        <v>9788532808059</v>
      </c>
      <c r="H456" s="29" t="str">
        <f>IFERROR(__xludf.DUMMYFUNCTION("""COMPUTED_VALUE"""),"https://repositorio.ufsc.br/handle/123456789/187926")</f>
        <v>https://repositorio.ufsc.br/handle/123456789/187926</v>
      </c>
      <c r="I456" s="24" t="str">
        <f>IFERROR(__xludf.DUMMYFUNCTION("""COMPUTED_VALUE"""),"Ciências Sociais Aplicadas")</f>
        <v>Ciências Sociais Aplicadas</v>
      </c>
    </row>
    <row r="457">
      <c r="A457" s="24" t="str">
        <f>IFERROR(__xludf.DUMMYFUNCTION("""COMPUTED_VALUE"""),"Sistemas de proteção social do Brasil: bibliografia (1985-2008)")</f>
        <v>Sistemas de proteção social do Brasil: bibliografia (1985-2008)</v>
      </c>
      <c r="B457" s="24" t="str">
        <f>IFERROR(__xludf.DUMMYFUNCTION("""COMPUTED_VALUE"""),"organizadoras, Maria Lúcia Teixeira Garcia, Rosa Maria Marques, Lucileide Andrade de Lima do Nascimento")</f>
        <v>organizadoras, Maria Lúcia Teixeira Garcia, Rosa Maria Marques, Lucileide Andrade de Lima do Nascimento</v>
      </c>
      <c r="C457" s="24" t="str">
        <f>IFERROR(__xludf.DUMMYFUNCTION("""COMPUTED_VALUE"""),"Vitória")</f>
        <v>Vitória</v>
      </c>
      <c r="D457" s="24" t="str">
        <f>IFERROR(__xludf.DUMMYFUNCTION("""COMPUTED_VALUE"""),"EDUFES")</f>
        <v>EDUFES</v>
      </c>
      <c r="E457" s="25">
        <f>IFERROR(__xludf.DUMMYFUNCTION("""COMPUTED_VALUE"""),2013.0)</f>
        <v>2013</v>
      </c>
      <c r="F457" s="24" t="str">
        <f>IFERROR(__xludf.DUMMYFUNCTION("""COMPUTED_VALUE"""),"Saúde; Assistência social; Previdência social; Seguro-desemprego; Bibliografia")</f>
        <v>Saúde; Assistência social; Previdência social; Seguro-desemprego; Bibliografia</v>
      </c>
      <c r="G457" s="28" t="str">
        <f>IFERROR(__xludf.DUMMYFUNCTION("""COMPUTED_VALUE"""),"9788577721801")</f>
        <v>9788577721801</v>
      </c>
      <c r="H457" s="29" t="str">
        <f>IFERROR(__xludf.DUMMYFUNCTION("""COMPUTED_VALUE"""),"http://repositorio.ufes.br/bitstream/10/828/1/livro%20edufes%20Sistemas%20de%20Prote%C3%A7%C3%A3o%20social%20do%20brasil.pdf")</f>
        <v>http://repositorio.ufes.br/bitstream/10/828/1/livro%20edufes%20Sistemas%20de%20Prote%C3%A7%C3%A3o%20social%20do%20brasil.pdf</v>
      </c>
      <c r="I457" s="24" t="str">
        <f>IFERROR(__xludf.DUMMYFUNCTION("""COMPUTED_VALUE"""),"Ciências Sociais Aplicadas")</f>
        <v>Ciências Sociais Aplicadas</v>
      </c>
    </row>
    <row r="458">
      <c r="A458" s="24" t="str">
        <f>IFERROR(__xludf.DUMMYFUNCTION("""COMPUTED_VALUE"""),"Sociedade da informação e o ciberespaço")</f>
        <v>Sociedade da informação e o ciberespaço</v>
      </c>
      <c r="B458" s="24" t="str">
        <f>IFERROR(__xludf.DUMMYFUNCTION("""COMPUTED_VALUE"""),"Maria Cristina Cereser Pezzella, Silvano Ghisi")</f>
        <v>Maria Cristina Cereser Pezzella, Silvano Ghisi</v>
      </c>
      <c r="C458" s="24" t="str">
        <f>IFERROR(__xludf.DUMMYFUNCTION("""COMPUTED_VALUE"""),"Joaçaba")</f>
        <v>Joaçaba</v>
      </c>
      <c r="D458" s="24" t="str">
        <f>IFERROR(__xludf.DUMMYFUNCTION("""COMPUTED_VALUE"""),"Unoesc")</f>
        <v>Unoesc</v>
      </c>
      <c r="E458" s="25">
        <f>IFERROR(__xludf.DUMMYFUNCTION("""COMPUTED_VALUE"""),2015.0)</f>
        <v>2015</v>
      </c>
      <c r="F458" s="24" t="str">
        <f>IFERROR(__xludf.DUMMYFUNCTION("""COMPUTED_VALUE"""),"Direitos fundamentais, Sociedade da; informação Direito à privacidade")</f>
        <v>Direitos fundamentais, Sociedade da; informação Direito à privacidade</v>
      </c>
      <c r="G458" s="28" t="str">
        <f>IFERROR(__xludf.DUMMYFUNCTION("""COMPUTED_VALUE"""),"9788584220656")</f>
        <v>9788584220656</v>
      </c>
      <c r="H458" s="29" t="str">
        <f>IFERROR(__xludf.DUMMYFUNCTION("""COMPUTED_VALUE"""),"https://www.unoesc.edu.br/images/uploads/editora/Sociedade_da_informacao_e_o_ciberespaco.pdf")</f>
        <v>https://www.unoesc.edu.br/images/uploads/editora/Sociedade_da_informacao_e_o_ciberespaco.pdf</v>
      </c>
      <c r="I458" s="24" t="str">
        <f>IFERROR(__xludf.DUMMYFUNCTION("""COMPUTED_VALUE"""),"Ciências Sociais Aplicadas")</f>
        <v>Ciências Sociais Aplicadas</v>
      </c>
    </row>
    <row r="459">
      <c r="A459" s="24" t="str">
        <f>IFERROR(__xludf.DUMMYFUNCTION("""COMPUTED_VALUE"""),"Sociedade da informação e suas repercussões na política econômica")</f>
        <v>Sociedade da informação e suas repercussões na política econômica</v>
      </c>
      <c r="B459" s="24" t="str">
        <f>IFERROR(__xludf.DUMMYFUNCTION("""COMPUTED_VALUE"""),"Maria Cristina Cereser Pezzella, Ricardo Antônio Lucas Camargo")</f>
        <v>Maria Cristina Cereser Pezzella, Ricardo Antônio Lucas Camargo</v>
      </c>
      <c r="C459" s="24" t="str">
        <f>IFERROR(__xludf.DUMMYFUNCTION("""COMPUTED_VALUE"""),"Joaçaba")</f>
        <v>Joaçaba</v>
      </c>
      <c r="D459" s="24" t="str">
        <f>IFERROR(__xludf.DUMMYFUNCTION("""COMPUTED_VALUE"""),"Unoesc")</f>
        <v>Unoesc</v>
      </c>
      <c r="E459" s="25">
        <f>IFERROR(__xludf.DUMMYFUNCTION("""COMPUTED_VALUE"""),2017.0)</f>
        <v>2017</v>
      </c>
      <c r="F459" s="24" t="str">
        <f>IFERROR(__xludf.DUMMYFUNCTION("""COMPUTED_VALUE"""),"Direitos fundamentais, Sociedade da; informação, Sociedade de consumo")</f>
        <v>Direitos fundamentais, Sociedade da; informação, Sociedade de consumo</v>
      </c>
      <c r="G459" s="28" t="str">
        <f>IFERROR(__xludf.DUMMYFUNCTION("""COMPUTED_VALUE"""),"9788584221509")</f>
        <v>9788584221509</v>
      </c>
      <c r="H459" s="29" t="str">
        <f>IFERROR(__xludf.DUMMYFUNCTION("""COMPUTED_VALUE"""),"https://www.unoesc.edu.br/images/uploads/editora/Livro_Maria_Cristina_Ricardo.pdf")</f>
        <v>https://www.unoesc.edu.br/images/uploads/editora/Livro_Maria_Cristina_Ricardo.pdf</v>
      </c>
      <c r="I459" s="24" t="str">
        <f>IFERROR(__xludf.DUMMYFUNCTION("""COMPUTED_VALUE"""),"Ciências Sociais Aplicadas")</f>
        <v>Ciências Sociais Aplicadas</v>
      </c>
    </row>
    <row r="460">
      <c r="A460" s="24" t="str">
        <f>IFERROR(__xludf.DUMMYFUNCTION("""COMPUTED_VALUE"""),"Sociedade da informação: dignidade da pessoa humana e espaço público")</f>
        <v>Sociedade da informação: dignidade da pessoa humana e espaço público</v>
      </c>
      <c r="B460" s="24" t="str">
        <f>IFERROR(__xludf.DUMMYFUNCTION("""COMPUTED_VALUE"""),"Maria Cristina Cereser Pezzella, Camila Nunes Pannain")</f>
        <v>Maria Cristina Cereser Pezzella, Camila Nunes Pannain</v>
      </c>
      <c r="C460" s="24" t="str">
        <f>IFERROR(__xludf.DUMMYFUNCTION("""COMPUTED_VALUE"""),"Joaçaba")</f>
        <v>Joaçaba</v>
      </c>
      <c r="D460" s="24" t="str">
        <f>IFERROR(__xludf.DUMMYFUNCTION("""COMPUTED_VALUE"""),"Unoesc")</f>
        <v>Unoesc</v>
      </c>
      <c r="E460" s="25">
        <f>IFERROR(__xludf.DUMMYFUNCTION("""COMPUTED_VALUE"""),2016.0)</f>
        <v>2016</v>
      </c>
      <c r="F460" s="24" t="str">
        <f>IFERROR(__xludf.DUMMYFUNCTION("""COMPUTED_VALUE"""),"Direitos fundamentais, Sociedade da; informação, Dignidade")</f>
        <v>Direitos fundamentais, Sociedade da; informação, Dignidade</v>
      </c>
      <c r="G460" s="28" t="str">
        <f>IFERROR(__xludf.DUMMYFUNCTION("""COMPUTED_VALUE"""),"9788584220663")</f>
        <v>9788584220663</v>
      </c>
      <c r="H460" s="29" t="str">
        <f>IFERROR(__xludf.DUMMYFUNCTION("""COMPUTED_VALUE"""),"https://www.unoesc.edu.br/images/uploads/editora/Sociedade_da_informacao-dignidade_da_pessoa.pdf")</f>
        <v>https://www.unoesc.edu.br/images/uploads/editora/Sociedade_da_informacao-dignidade_da_pessoa.pdf</v>
      </c>
      <c r="I460" s="24" t="str">
        <f>IFERROR(__xludf.DUMMYFUNCTION("""COMPUTED_VALUE"""),"Ciências Sociais Aplicadas")</f>
        <v>Ciências Sociais Aplicadas</v>
      </c>
    </row>
    <row r="461">
      <c r="A461" s="24" t="str">
        <f>IFERROR(__xludf.DUMMYFUNCTION("""COMPUTED_VALUE"""),"Sociedade da informação: infância, identidade, regionalização, mídias interativas e redes científicas")</f>
        <v>Sociedade da informação: infância, identidade, regionalização, mídias interativas e redes científicas</v>
      </c>
      <c r="B461" s="24" t="str">
        <f>IFERROR(__xludf.DUMMYFUNCTION("""COMPUTED_VALUE"""),"Maria Cristina Celeser Pezzella, Thaís Janaína Wenczenovicz")</f>
        <v>Maria Cristina Celeser Pezzella, Thaís Janaína Wenczenovicz</v>
      </c>
      <c r="C461" s="24" t="str">
        <f>IFERROR(__xludf.DUMMYFUNCTION("""COMPUTED_VALUE"""),"Joaçaba")</f>
        <v>Joaçaba</v>
      </c>
      <c r="D461" s="24" t="str">
        <f>IFERROR(__xludf.DUMMYFUNCTION("""COMPUTED_VALUE"""),"Unoesc")</f>
        <v>Unoesc</v>
      </c>
      <c r="E461" s="25">
        <f>IFERROR(__xludf.DUMMYFUNCTION("""COMPUTED_VALUE"""),2016.0)</f>
        <v>2016</v>
      </c>
      <c r="F461" s="24" t="str">
        <f>IFERROR(__xludf.DUMMYFUNCTION("""COMPUTED_VALUE"""),"Direitos fundamentais, Sociedade da informação, Computadores e civilização")</f>
        <v>Direitos fundamentais, Sociedade da informação, Computadores e civilização</v>
      </c>
      <c r="G461" s="28" t="str">
        <f>IFERROR(__xludf.DUMMYFUNCTION("""COMPUTED_VALUE"""),"9788584220670")</f>
        <v>9788584220670</v>
      </c>
      <c r="H461" s="29" t="str">
        <f>IFERROR(__xludf.DUMMYFUNCTION("""COMPUTED_VALUE"""),"https://www.unoesc.edu.br/images/uploads/editora/Sociedade_da_informa%c3%a7%c3%a3o-infancia-identidade.pdf")</f>
        <v>https://www.unoesc.edu.br/images/uploads/editora/Sociedade_da_informa%c3%a7%c3%a3o-infancia-identidade.pdf</v>
      </c>
      <c r="I461" s="24" t="str">
        <f>IFERROR(__xludf.DUMMYFUNCTION("""COMPUTED_VALUE"""),"Ciências Sociais Aplicadas")</f>
        <v>Ciências Sociais Aplicadas</v>
      </c>
    </row>
    <row r="462">
      <c r="A462" s="24" t="str">
        <f>IFERROR(__xludf.DUMMYFUNCTION("""COMPUTED_VALUE"""),"Sociologia política das instituições judiciais")</f>
        <v>Sociologia política das instituições judiciais</v>
      </c>
      <c r="B462" s="24" t="str">
        <f>IFERROR(__xludf.DUMMYFUNCTION("""COMPUTED_VALUE"""),"Vauchez, Antoine ")</f>
        <v>Vauchez, Antoine </v>
      </c>
      <c r="C462" s="24" t="str">
        <f>IFERROR(__xludf.DUMMYFUNCTION("""COMPUTED_VALUE"""),"Porto Alegre")</f>
        <v>Porto Alegre</v>
      </c>
      <c r="D462" s="24" t="str">
        <f>IFERROR(__xludf.DUMMYFUNCTION("""COMPUTED_VALUE"""),"UFRGS")</f>
        <v>UFRGS</v>
      </c>
      <c r="E462" s="25">
        <f>IFERROR(__xludf.DUMMYFUNCTION("""COMPUTED_VALUE"""),2017.0)</f>
        <v>2017</v>
      </c>
      <c r="F462" s="24" t="str">
        <f>IFERROR(__xludf.DUMMYFUNCTION("""COMPUTED_VALUE"""),"Instituições jurídicas; Poder judiciário; Sistema judiciario; Sociologia do direito; Sociologia juridica; Sociologia política")</f>
        <v>Instituições jurídicas; Poder judiciário; Sistema judiciario; Sociologia do direito; Sociologia juridica; Sociologia política</v>
      </c>
      <c r="G462" s="28" t="str">
        <f>IFERROR(__xludf.DUMMYFUNCTION("""COMPUTED_VALUE"""),"9788538605058")</f>
        <v>9788538605058</v>
      </c>
      <c r="H462" s="29" t="str">
        <f>IFERROR(__xludf.DUMMYFUNCTION("""COMPUTED_VALUE"""),"http://hdl.handle.net/10183/213273")</f>
        <v>http://hdl.handle.net/10183/213273</v>
      </c>
      <c r="I462" s="24" t="str">
        <f>IFERROR(__xludf.DUMMYFUNCTION("""COMPUTED_VALUE"""),"Ciências Sociais Aplicadas")</f>
        <v>Ciências Sociais Aplicadas</v>
      </c>
    </row>
    <row r="463">
      <c r="A463" s="24" t="str">
        <f>IFERROR(__xludf.DUMMYFUNCTION("""COMPUTED_VALUE"""),"Somos todos criminosos em potencial")</f>
        <v>Somos todos criminosos em potencial</v>
      </c>
      <c r="B463" s="24" t="str">
        <f>IFERROR(__xludf.DUMMYFUNCTION("""COMPUTED_VALUE"""),"Maria Léa Monteiro de Aguiar")</f>
        <v>Maria Léa Monteiro de Aguiar</v>
      </c>
      <c r="C463" s="24" t="str">
        <f>IFERROR(__xludf.DUMMYFUNCTION("""COMPUTED_VALUE"""),"Niterói, RJ")</f>
        <v>Niterói, RJ</v>
      </c>
      <c r="D463" s="24" t="str">
        <f>IFERROR(__xludf.DUMMYFUNCTION("""COMPUTED_VALUE"""),"EDUFF")</f>
        <v>EDUFF</v>
      </c>
      <c r="E463" s="25">
        <f>IFERROR(__xludf.DUMMYFUNCTION("""COMPUTED_VALUE"""),2007.0)</f>
        <v>2007</v>
      </c>
      <c r="F463" s="24" t="str">
        <f>IFERROR(__xludf.DUMMYFUNCTION("""COMPUTED_VALUE"""),"Violência urbana; Criminalidade; Seguranaça pública")</f>
        <v>Violência urbana; Criminalidade; Seguranaça pública</v>
      </c>
      <c r="G463" s="28" t="str">
        <f>IFERROR(__xludf.DUMMYFUNCTION("""COMPUTED_VALUE"""),"9788528804412")</f>
        <v>9788528804412</v>
      </c>
      <c r="H463" s="29" t="str">
        <f>IFERROR(__xludf.DUMMYFUNCTION("""COMPUTED_VALUE"""),"http://www.eduff.uff.br/ebooks/Somos-todos-criminosos-em-potencial.pdf")</f>
        <v>http://www.eduff.uff.br/ebooks/Somos-todos-criminosos-em-potencial.pdf</v>
      </c>
      <c r="I463" s="24" t="str">
        <f>IFERROR(__xludf.DUMMYFUNCTION("""COMPUTED_VALUE"""),"Ciências Sociais Aplicadas")</f>
        <v>Ciências Sociais Aplicadas</v>
      </c>
    </row>
    <row r="464">
      <c r="A464" s="24" t="str">
        <f>IFERROR(__xludf.DUMMYFUNCTION("""COMPUTED_VALUE"""),"Sujeitos de Direitos ou Sujeitos de Tutela? Memórias de Jovens Egressos sobre o Acolhimento Institucional em João Pessoa (2010-2015) (disponível temporariamente)")</f>
        <v>Sujeitos de Direitos ou Sujeitos de Tutela? Memórias de Jovens Egressos sobre o Acolhimento Institucional em João Pessoa (2010-2015) (disponível temporariamente)</v>
      </c>
      <c r="B464" s="24" t="str">
        <f>IFERROR(__xludf.DUMMYFUNCTION("""COMPUTED_VALUE"""),"Maria Elizete Guimarães Carvalho; Noêmia Soares Barbosa Leal")</f>
        <v>Maria Elizete Guimarães Carvalho; Noêmia Soares Barbosa Leal</v>
      </c>
      <c r="C464" s="24" t="str">
        <f>IFERROR(__xludf.DUMMYFUNCTION("""COMPUTED_VALUE"""),"João Pessoa")</f>
        <v>João Pessoa</v>
      </c>
      <c r="D464" s="24" t="str">
        <f>IFERROR(__xludf.DUMMYFUNCTION("""COMPUTED_VALUE"""),"Editora da UFPB")</f>
        <v>Editora da UFPB</v>
      </c>
      <c r="E464" s="25">
        <f>IFERROR(__xludf.DUMMYFUNCTION("""COMPUTED_VALUE"""),2017.0)</f>
        <v>2017</v>
      </c>
      <c r="F464" s="24" t="str">
        <f>IFERROR(__xludf.DUMMYFUNCTION("""COMPUTED_VALUE"""),"Direitos humanos. Memórias - Jovens egressos - Acolhimento institucional. Desligamento institucional")</f>
        <v>Direitos humanos. Memórias - Jovens egressos - Acolhimento institucional. Desligamento institucional</v>
      </c>
      <c r="G464" s="28" t="str">
        <f>IFERROR(__xludf.DUMMYFUNCTION("""COMPUTED_VALUE"""),"9788523712860")</f>
        <v>9788523712860</v>
      </c>
      <c r="H464" s="29" t="str">
        <f>IFERROR(__xludf.DUMMYFUNCTION("""COMPUTED_VALUE"""),"http://www.editora.ufpb.br/sistema/press5/index.php/UFPB/catalog/book/280")</f>
        <v>http://www.editora.ufpb.br/sistema/press5/index.php/UFPB/catalog/book/280</v>
      </c>
      <c r="I464" s="24" t="str">
        <f>IFERROR(__xludf.DUMMYFUNCTION("""COMPUTED_VALUE"""),"Ciências Sociais Aplicadas")</f>
        <v>Ciências Sociais Aplicadas</v>
      </c>
    </row>
    <row r="465">
      <c r="A465" s="24" t="str">
        <f>IFERROR(__xludf.DUMMYFUNCTION("""COMPUTED_VALUE"""),"Tecnologia, participação e território: reflexões a partir da prática extensionista")</f>
        <v>Tecnologia, participação e território: reflexões a partir da prática extensionista</v>
      </c>
      <c r="B465" s="24" t="str">
        <f>IFERROR(__xludf.DUMMYFUNCTION("""COMPUTED_VALUE"""),"Organizadores Felipe Addor, Flávio Chedid Henriques")</f>
        <v>Organizadores Felipe Addor, Flávio Chedid Henriques</v>
      </c>
      <c r="C465" s="24" t="str">
        <f>IFERROR(__xludf.DUMMYFUNCTION("""COMPUTED_VALUE"""),"Rio de Janeiro")</f>
        <v>Rio de Janeiro</v>
      </c>
      <c r="D465" s="24" t="str">
        <f>IFERROR(__xludf.DUMMYFUNCTION("""COMPUTED_VALUE"""),"Editora UFRJ")</f>
        <v>Editora UFRJ</v>
      </c>
      <c r="E465" s="25">
        <f>IFERROR(__xludf.DUMMYFUNCTION("""COMPUTED_VALUE"""),2015.0)</f>
        <v>2015</v>
      </c>
      <c r="F465" s="24" t="str">
        <f>IFERROR(__xludf.DUMMYFUNCTION("""COMPUTED_VALUE"""),"Extensão universitária; Prática extensionista; Economia solidária; Sociedade; Tecnologia")</f>
        <v>Extensão universitária; Prática extensionista; Economia solidária; Sociedade; Tecnologia</v>
      </c>
      <c r="G465" s="28" t="str">
        <f>IFERROR(__xludf.DUMMYFUNCTION("""COMPUTED_VALUE"""),"9788571083882")</f>
        <v>9788571083882</v>
      </c>
      <c r="H465" s="29" t="str">
        <f>IFERROR(__xludf.DUMMYFUNCTION("""COMPUTED_VALUE"""),"http://www.editora.ufrj.br/DynamicItems/livrosabertos-1/soltec3_tecnologia_participacao_e_territorio.pdf")</f>
        <v>http://www.editora.ufrj.br/DynamicItems/livrosabertos-1/soltec3_tecnologia_participacao_e_territorio.pdf</v>
      </c>
      <c r="I465" s="24" t="str">
        <f>IFERROR(__xludf.DUMMYFUNCTION("""COMPUTED_VALUE"""),"Ciências Sociais Aplicadas")</f>
        <v>Ciências Sociais Aplicadas</v>
      </c>
    </row>
    <row r="466">
      <c r="A466" s="24" t="str">
        <f>IFERROR(__xludf.DUMMYFUNCTION("""COMPUTED_VALUE"""),"Tecnologias da informação e da comunicação e formação e prática de professores")</f>
        <v>Tecnologias da informação e da comunicação e formação e prática de professores</v>
      </c>
      <c r="B466" s="24" t="str">
        <f>IFERROR(__xludf.DUMMYFUNCTION("""COMPUTED_VALUE"""),"Orth, Miguel; Fruet, Fabiane; Otte, Janete; Neves, Marcus")</f>
        <v>Orth, Miguel; Fruet, Fabiane; Otte, Janete; Neves, Marcus</v>
      </c>
      <c r="C466" s="24" t="str">
        <f>IFERROR(__xludf.DUMMYFUNCTION("""COMPUTED_VALUE"""),"Pelotas")</f>
        <v>Pelotas</v>
      </c>
      <c r="D466" s="24" t="str">
        <f>IFERROR(__xludf.DUMMYFUNCTION("""COMPUTED_VALUE"""),"UFPel")</f>
        <v>UFPel</v>
      </c>
      <c r="E466" s="25">
        <f>IFERROR(__xludf.DUMMYFUNCTION("""COMPUTED_VALUE"""),2018.0)</f>
        <v>2018</v>
      </c>
      <c r="F466" s="24" t="str">
        <f>IFERROR(__xludf.DUMMYFUNCTION("""COMPUTED_VALUE"""),"Professores; Formação; Tecnologia; Políticas públicas")</f>
        <v>Professores; Formação; Tecnologia; Políticas públicas</v>
      </c>
      <c r="G466" s="28" t="str">
        <f>IFERROR(__xludf.DUMMYFUNCTION("""COMPUTED_VALUE"""),"9788551700198")</f>
        <v>9788551700198</v>
      </c>
      <c r="H466" s="29" t="str">
        <f>IFERROR(__xludf.DUMMYFUNCTION("""COMPUTED_VALUE"""),"http://guaiaca.ufpel.edu.br/bitstream/prefix/4023/3/TICS.pdf")</f>
        <v>http://guaiaca.ufpel.edu.br/bitstream/prefix/4023/3/TICS.pdf</v>
      </c>
      <c r="I466" s="24" t="str">
        <f>IFERROR(__xludf.DUMMYFUNCTION("""COMPUTED_VALUE"""),"Ciências Sociais Aplicadas")</f>
        <v>Ciências Sociais Aplicadas</v>
      </c>
    </row>
    <row r="467">
      <c r="A467" s="24" t="str">
        <f>IFERROR(__xludf.DUMMYFUNCTION("""COMPUTED_VALUE"""),"Tecnologias de gestão e subjetividades: por uma abordagem multidisciplinar")</f>
        <v>Tecnologias de gestão e subjetividades: por uma abordagem multidisciplinar</v>
      </c>
      <c r="B467" s="24" t="str">
        <f>IFERROR(__xludf.DUMMYFUNCTION("""COMPUTED_VALUE"""),"organizadores Simone da Costa Fernandes, Eduarda De Biase Ferrari Gomes")</f>
        <v>organizadores Simone da Costa Fernandes, Eduarda De Biase Ferrari Gomes</v>
      </c>
      <c r="C467" s="24" t="str">
        <f>IFERROR(__xludf.DUMMYFUNCTION("""COMPUTED_VALUE"""),"Vitória")</f>
        <v>Vitória</v>
      </c>
      <c r="D467" s="24" t="str">
        <f>IFERROR(__xludf.DUMMYFUNCTION("""COMPUTED_VALUE"""),"EDUFES")</f>
        <v>EDUFES</v>
      </c>
      <c r="E467" s="25">
        <f>IFERROR(__xludf.DUMMYFUNCTION("""COMPUTED_VALUE"""),2013.0)</f>
        <v>2013</v>
      </c>
      <c r="F467" s="24" t="str">
        <f>IFERROR(__xludf.DUMMYFUNCTION("""COMPUTED_VALUE"""),"Cultura; Organização; Subjetividade; Gestão de empresas")</f>
        <v>Cultura; Organização; Subjetividade; Gestão de empresas</v>
      </c>
      <c r="G467" s="28" t="str">
        <f>IFERROR(__xludf.DUMMYFUNCTION("""COMPUTED_VALUE"""),"9788577721467")</f>
        <v>9788577721467</v>
      </c>
      <c r="H467" s="29" t="str">
        <f>IFERROR(__xludf.DUMMYFUNCTION("""COMPUTED_VALUE"""),"http://repositorio.ufes.br/bitstream/10/822/1/livro%20edufes%20Tecnologias%20de%20gest%C3%A3o%20e%20subjetividades%20por%20uma%20abordagem%20multidisciplinar.pdf")</f>
        <v>http://repositorio.ufes.br/bitstream/10/822/1/livro%20edufes%20Tecnologias%20de%20gest%C3%A3o%20e%20subjetividades%20por%20uma%20abordagem%20multidisciplinar.pdf</v>
      </c>
      <c r="I467" s="24" t="str">
        <f>IFERROR(__xludf.DUMMYFUNCTION("""COMPUTED_VALUE"""),"Ciências Sociais Aplicadas")</f>
        <v>Ciências Sociais Aplicadas</v>
      </c>
    </row>
    <row r="468">
      <c r="A468" s="24" t="str">
        <f>IFERROR(__xludf.DUMMYFUNCTION("""COMPUTED_VALUE"""),"Temas de Direito Civil: Da Constitucionalização à Humanização")</f>
        <v>Temas de Direito Civil: Da Constitucionalização à Humanização</v>
      </c>
      <c r="B468" s="24" t="str">
        <f>IFERROR(__xludf.DUMMYFUNCTION("""COMPUTED_VALUE"""),"Adriano Marteleto Godinho, Ana Paula Correia de Albuquerque da Costa, Filipe Lins doa Santos, Maria Cristina Santiago, (organizadores)")</f>
        <v>Adriano Marteleto Godinho, Ana Paula Correia de Albuquerque da Costa, Filipe Lins doa Santos, Maria Cristina Santiago, (organizadores)</v>
      </c>
      <c r="C468" s="24" t="str">
        <f>IFERROR(__xludf.DUMMYFUNCTION("""COMPUTED_VALUE"""),"João Pessoa")</f>
        <v>João Pessoa</v>
      </c>
      <c r="D468" s="24" t="str">
        <f>IFERROR(__xludf.DUMMYFUNCTION("""COMPUTED_VALUE"""),"Editora da UFPB")</f>
        <v>Editora da UFPB</v>
      </c>
      <c r="E468" s="25">
        <f>IFERROR(__xludf.DUMMYFUNCTION("""COMPUTED_VALUE"""),2015.0)</f>
        <v>2015</v>
      </c>
      <c r="F468" s="24" t="str">
        <f>IFERROR(__xludf.DUMMYFUNCTION("""COMPUTED_VALUE"""),"Direito civil; Arbitragem; Conciliação; Mediação; Negociação")</f>
        <v>Direito civil; Arbitragem; Conciliação; Mediação; Negociação</v>
      </c>
      <c r="G468" s="28" t="str">
        <f>IFERROR(__xludf.DUMMYFUNCTION("""COMPUTED_VALUE"""),"9788523710873")</f>
        <v>9788523710873</v>
      </c>
      <c r="H468" s="29" t="str">
        <f>IFERROR(__xludf.DUMMYFUNCTION("""COMPUTED_VALUE"""),"http://www.editora.ufpb.br/sistema/press5/index.php/UFPB/catalog/book/549")</f>
        <v>http://www.editora.ufpb.br/sistema/press5/index.php/UFPB/catalog/book/549</v>
      </c>
      <c r="I468" s="24" t="str">
        <f>IFERROR(__xludf.DUMMYFUNCTION("""COMPUTED_VALUE"""),"Ciências Sociais Aplicadas")</f>
        <v>Ciências Sociais Aplicadas</v>
      </c>
    </row>
    <row r="469">
      <c r="A469" s="24" t="str">
        <f>IFERROR(__xludf.DUMMYFUNCTION("""COMPUTED_VALUE"""),"Temas de Direito II: ciência política, direito constitucional, filosofia do direito, sociologia jurídica")</f>
        <v>Temas de Direito II: ciência política, direito constitucional, filosofia do direito, sociologia jurídica</v>
      </c>
      <c r="B469" s="24" t="str">
        <f>IFERROR(__xludf.DUMMYFUNCTION("""COMPUTED_VALUE"""),"Organizado pelo Centro Acadêmico Cromwell de Carvalho ")</f>
        <v>Organizado pelo Centro Acadêmico Cromwell de Carvalho </v>
      </c>
      <c r="C469" s="24" t="str">
        <f>IFERROR(__xludf.DUMMYFUNCTION("""COMPUTED_VALUE"""),"Teresina")</f>
        <v>Teresina</v>
      </c>
      <c r="D469" s="24" t="str">
        <f>IFERROR(__xludf.DUMMYFUNCTION("""COMPUTED_VALUE"""),"EDUFPI")</f>
        <v>EDUFPI</v>
      </c>
      <c r="E469" s="25">
        <f>IFERROR(__xludf.DUMMYFUNCTION("""COMPUTED_VALUE"""),2017.0)</f>
        <v>2017</v>
      </c>
      <c r="F469" s="24" t="str">
        <f>IFERROR(__xludf.DUMMYFUNCTION("""COMPUTED_VALUE"""),"Direito; Pesquisa; Produção Acadêmica; Trabalho Científico;Teoria do Direito")</f>
        <v>Direito; Pesquisa; Produção Acadêmica; Trabalho Científico;Teoria do Direito</v>
      </c>
      <c r="G469" s="28" t="str">
        <f>IFERROR(__xludf.DUMMYFUNCTION("""COMPUTED_VALUE"""),"9788550902067")</f>
        <v>9788550902067</v>
      </c>
      <c r="H469" s="29" t="str">
        <f>IFERROR(__xludf.DUMMYFUNCTION("""COMPUTED_VALUE"""),"https://www.ufpi.br/arquivos_download/arquivos/EDUFPI/LIVRO_DE_DIREITO_II.pdf")</f>
        <v>https://www.ufpi.br/arquivos_download/arquivos/EDUFPI/LIVRO_DE_DIREITO_II.pdf</v>
      </c>
      <c r="I469" s="24" t="str">
        <f>IFERROR(__xludf.DUMMYFUNCTION("""COMPUTED_VALUE"""),"Ciências Sociais Aplicadas")</f>
        <v>Ciências Sociais Aplicadas</v>
      </c>
    </row>
    <row r="470">
      <c r="A470" s="24" t="str">
        <f>IFERROR(__xludf.DUMMYFUNCTION("""COMPUTED_VALUE"""),"Temas emergentes de direitos humanos, democracia e trabalho")</f>
        <v>Temas emergentes de direitos humanos, democracia e trabalho</v>
      </c>
      <c r="B470" s="24" t="str">
        <f>IFERROR(__xludf.DUMMYFUNCTION("""COMPUTED_VALUE"""),"Regina Stela Corrêa Vieira, Robison Tramontina")</f>
        <v>Regina Stela Corrêa Vieira, Robison Tramontina</v>
      </c>
      <c r="C470" s="24" t="str">
        <f>IFERROR(__xludf.DUMMYFUNCTION("""COMPUTED_VALUE"""),"Joaçaba")</f>
        <v>Joaçaba</v>
      </c>
      <c r="D470" s="24" t="str">
        <f>IFERROR(__xludf.DUMMYFUNCTION("""COMPUTED_VALUE"""),"Unoesc")</f>
        <v>Unoesc</v>
      </c>
      <c r="E470" s="25">
        <f>IFERROR(__xludf.DUMMYFUNCTION("""COMPUTED_VALUE"""),2019.0)</f>
        <v>2019</v>
      </c>
      <c r="F470" s="24" t="str">
        <f>IFERROR(__xludf.DUMMYFUNCTION("""COMPUTED_VALUE"""),"Direitos humanos, Direitos fundamentais, Democracia")</f>
        <v>Direitos humanos, Direitos fundamentais, Democracia</v>
      </c>
      <c r="G470" s="28" t="str">
        <f>IFERROR(__xludf.DUMMYFUNCTION("""COMPUTED_VALUE"""),"9788584222179")</f>
        <v>9788584222179</v>
      </c>
      <c r="H470" s="29" t="str">
        <f>IFERROR(__xludf.DUMMYFUNCTION("""COMPUTED_VALUE"""),"https://www.unoesc.edu.br/images/uploads/editora/Miolo_Temas_emergentes.pdf")</f>
        <v>https://www.unoesc.edu.br/images/uploads/editora/Miolo_Temas_emergentes.pdf</v>
      </c>
      <c r="I470" s="24" t="str">
        <f>IFERROR(__xludf.DUMMYFUNCTION("""COMPUTED_VALUE"""),"Ciências Sociais Aplicadas")</f>
        <v>Ciências Sociais Aplicadas</v>
      </c>
    </row>
    <row r="471">
      <c r="A471" s="24" t="str">
        <f>IFERROR(__xludf.DUMMYFUNCTION("""COMPUTED_VALUE"""),"Temas sediciosos e criminológicos")</f>
        <v>Temas sediciosos e criminológicos</v>
      </c>
      <c r="B471" s="24" t="str">
        <f>IFERROR(__xludf.DUMMYFUNCTION("""COMPUTED_VALUE"""),"(org.) Gustavo de Souza Preussler, Lucimara Rabel")</f>
        <v>(org.) Gustavo de Souza Preussler, Lucimara Rabel</v>
      </c>
      <c r="C471" s="24" t="str">
        <f>IFERROR(__xludf.DUMMYFUNCTION("""COMPUTED_VALUE"""),"Dourados, MS")</f>
        <v>Dourados, MS</v>
      </c>
      <c r="D471" s="24" t="str">
        <f>IFERROR(__xludf.DUMMYFUNCTION("""COMPUTED_VALUE"""),"Ed. da UFGD")</f>
        <v>Ed. da UFGD</v>
      </c>
      <c r="E471" s="25">
        <f>IFERROR(__xludf.DUMMYFUNCTION("""COMPUTED_VALUE"""),2015.0)</f>
        <v>2015</v>
      </c>
      <c r="F471" s="24" t="str">
        <f>IFERROR(__xludf.DUMMYFUNCTION("""COMPUTED_VALUE"""),"Criminologia; Teoria crítica; Antidogmática")</f>
        <v>Criminologia; Teoria crítica; Antidogmática</v>
      </c>
      <c r="G471" s="28" t="str">
        <f>IFERROR(__xludf.DUMMYFUNCTION("""COMPUTED_VALUE"""),"9788581471228")</f>
        <v>9788581471228</v>
      </c>
      <c r="H471" s="29" t="str">
        <f>IFERROR(__xludf.DUMMYFUNCTION("""COMPUTED_VALUE"""),"http://omp.ufgd.edu.br/omp/index.php/livrosabertos/catalog/view/45/38/110-1")</f>
        <v>http://omp.ufgd.edu.br/omp/index.php/livrosabertos/catalog/view/45/38/110-1</v>
      </c>
      <c r="I471" s="24" t="str">
        <f>IFERROR(__xludf.DUMMYFUNCTION("""COMPUTED_VALUE"""),"Ciências Sociais Aplicadas")</f>
        <v>Ciências Sociais Aplicadas</v>
      </c>
    </row>
    <row r="472">
      <c r="A472" s="24" t="str">
        <f>IFERROR(__xludf.DUMMYFUNCTION("""COMPUTED_VALUE"""),"Temas sobre a constitucionalização dos direitos fundamentais: um debate crítico")</f>
        <v>Temas sobre a constitucionalização dos direitos fundamentais: um debate crítico</v>
      </c>
      <c r="B472" s="24" t="str">
        <f>IFERROR(__xludf.DUMMYFUNCTION("""COMPUTED_VALUE"""),"Jucélia Fátima Seidler Jeremias")</f>
        <v>Jucélia Fátima Seidler Jeremias</v>
      </c>
      <c r="C472" s="24" t="str">
        <f>IFERROR(__xludf.DUMMYFUNCTION("""COMPUTED_VALUE"""),"Joaçaba")</f>
        <v>Joaçaba</v>
      </c>
      <c r="D472" s="24" t="str">
        <f>IFERROR(__xludf.DUMMYFUNCTION("""COMPUTED_VALUE"""),"Unoesc")</f>
        <v>Unoesc</v>
      </c>
      <c r="E472" s="25">
        <f>IFERROR(__xludf.DUMMYFUNCTION("""COMPUTED_VALUE"""),2017.0)</f>
        <v>2017</v>
      </c>
      <c r="F472" s="24" t="str">
        <f>IFERROR(__xludf.DUMMYFUNCTION("""COMPUTED_VALUE"""),"Direitos fundamentais, Constitucionalidade")</f>
        <v>Direitos fundamentais, Constitucionalidade</v>
      </c>
      <c r="G472" s="28" t="str">
        <f>IFERROR(__xludf.DUMMYFUNCTION("""COMPUTED_VALUE"""),"9788584221523")</f>
        <v>9788584221523</v>
      </c>
      <c r="H472" s="29" t="str">
        <f>IFERROR(__xludf.DUMMYFUNCTION("""COMPUTED_VALUE"""),"https://www.unoesc.edu.br/images/uploads/editora/Temas_sobre_a_constitucionaliza%c3%a7%c3%a3o_dos_direitos_fundamentais.pdf")</f>
        <v>https://www.unoesc.edu.br/images/uploads/editora/Temas_sobre_a_constitucionaliza%c3%a7%c3%a3o_dos_direitos_fundamentais.pdf</v>
      </c>
      <c r="I472" s="24" t="str">
        <f>IFERROR(__xludf.DUMMYFUNCTION("""COMPUTED_VALUE"""),"Ciências Sociais Aplicadas")</f>
        <v>Ciências Sociais Aplicadas</v>
      </c>
    </row>
    <row r="473">
      <c r="A473" s="24" t="str">
        <f>IFERROR(__xludf.DUMMYFUNCTION("""COMPUTED_VALUE"""),"Tensão Entre Justiça Ambiental E Social Na América Latina")</f>
        <v>Tensão Entre Justiça Ambiental E Social Na América Latina</v>
      </c>
      <c r="B473" s="24" t="str">
        <f>IFERROR(__xludf.DUMMYFUNCTION("""COMPUTED_VALUE"""),"José Esteban Castro; Luis Henrique Cunha; Marcionila Fernandes; Cidoval Morais de Sousa (org.)")</f>
        <v>José Esteban Castro; Luis Henrique Cunha; Marcionila Fernandes; Cidoval Morais de Sousa (org.)</v>
      </c>
      <c r="C473" s="24" t="str">
        <f>IFERROR(__xludf.DUMMYFUNCTION("""COMPUTED_VALUE"""),"Campina Grande")</f>
        <v>Campina Grande</v>
      </c>
      <c r="D473" s="24" t="str">
        <f>IFERROR(__xludf.DUMMYFUNCTION("""COMPUTED_VALUE"""),"EDUEPB")</f>
        <v>EDUEPB</v>
      </c>
      <c r="E473" s="25">
        <f>IFERROR(__xludf.DUMMYFUNCTION("""COMPUTED_VALUE"""),2017.0)</f>
        <v>2017</v>
      </c>
      <c r="F473" s="24" t="str">
        <f>IFERROR(__xludf.DUMMYFUNCTION("""COMPUTED_VALUE"""),"Recursos renováveis. Água. Democratização no Brasil. Justiça ambiental. Bacias hidrográficas. Ecologia política")</f>
        <v>Recursos renováveis. Água. Democratização no Brasil. Justiça ambiental. Bacias hidrográficas. Ecologia política</v>
      </c>
      <c r="G473" s="28" t="str">
        <f>IFERROR(__xludf.DUMMYFUNCTION("""COMPUTED_VALUE"""),"9788578793555")</f>
        <v>9788578793555</v>
      </c>
      <c r="H473" s="29" t="str">
        <f>IFERROR(__xludf.DUMMYFUNCTION("""COMPUTED_VALUE"""),"http://eduepb.uepb.edu.br/download/tensao-entre-justica-ambiental-e-social-na-america-latina/?wpdmdl=220&amp;amp;masterkey=5af9a2222460b")</f>
        <v>http://eduepb.uepb.edu.br/download/tensao-entre-justica-ambiental-e-social-na-america-latina/?wpdmdl=220&amp;amp;masterkey=5af9a2222460b</v>
      </c>
      <c r="I473" s="24" t="str">
        <f>IFERROR(__xludf.DUMMYFUNCTION("""COMPUTED_VALUE"""),"Ciências Sociais Aplicadas")</f>
        <v>Ciências Sociais Aplicadas</v>
      </c>
    </row>
    <row r="474">
      <c r="A474" s="24" t="str">
        <f>IFERROR(__xludf.DUMMYFUNCTION("""COMPUTED_VALUE"""),"Tensões em rede: os limites e possibilidades da cidadania na internet")</f>
        <v>Tensões em rede: os limites e possibilidades da cidadania na internet</v>
      </c>
      <c r="B474" s="24" t="str">
        <f>IFERROR(__xludf.DUMMYFUNCTION("""COMPUTED_VALUE"""),"Sérgio Amadeu da Silveira; Fábio Botelho Josgrilberg (org.)")</f>
        <v>Sérgio Amadeu da Silveira; Fábio Botelho Josgrilberg (org.)</v>
      </c>
      <c r="C474" s="24" t="str">
        <f>IFERROR(__xludf.DUMMYFUNCTION("""COMPUTED_VALUE"""),"São Bernardo do Campo, SP")</f>
        <v>São Bernardo do Campo, SP</v>
      </c>
      <c r="D474" s="24" t="str">
        <f>IFERROR(__xludf.DUMMYFUNCTION("""COMPUTED_VALUE"""),"UMESP")</f>
        <v>UMESP</v>
      </c>
      <c r="E474" s="25">
        <f>IFERROR(__xludf.DUMMYFUNCTION("""COMPUTED_VALUE"""),2012.0)</f>
        <v>2012</v>
      </c>
      <c r="F474" s="24" t="str">
        <f>IFERROR(__xludf.DUMMYFUNCTION("""COMPUTED_VALUE"""),"Comunicação digital. Aspectos sociais. Sociedade digital. Novas tecnologias. Comunicação e cidadania. Tecnologia da informação. Internet")</f>
        <v>Comunicação digital. Aspectos sociais. Sociedade digital. Novas tecnologias. Comunicação e cidadania. Tecnologia da informação. Internet</v>
      </c>
      <c r="G474" s="28" t="str">
        <f>IFERROR(__xludf.DUMMYFUNCTION("""COMPUTED_VALUE"""),"9788578142452")</f>
        <v>9788578142452</v>
      </c>
      <c r="H474" s="29" t="str">
        <f>IFERROR(__xludf.DUMMYFUNCTION("""COMPUTED_VALUE"""),"http://editora.metodista.br/livros-gratis/tensoes-em-rede/at_download/file")</f>
        <v>http://editora.metodista.br/livros-gratis/tensoes-em-rede/at_download/file</v>
      </c>
      <c r="I474" s="24" t="str">
        <f>IFERROR(__xludf.DUMMYFUNCTION("""COMPUTED_VALUE"""),"Ciências Sociais Aplicadas")</f>
        <v>Ciências Sociais Aplicadas</v>
      </c>
    </row>
    <row r="475">
      <c r="A475" s="24" t="str">
        <f>IFERROR(__xludf.DUMMYFUNCTION("""COMPUTED_VALUE"""),"Teoria geral dos direitos fundamentais: Tomo I")</f>
        <v>Teoria geral dos direitos fundamentais: Tomo I</v>
      </c>
      <c r="B475" s="24" t="str">
        <f>IFERROR(__xludf.DUMMYFUNCTION("""COMPUTED_VALUE"""),"Yuri Schneider, Aline Mendes de Godoy e André Filipe de Moura")</f>
        <v>Yuri Schneider, Aline Mendes de Godoy e André Filipe de Moura</v>
      </c>
      <c r="C475" s="24" t="str">
        <f>IFERROR(__xludf.DUMMYFUNCTION("""COMPUTED_VALUE"""),"Joaçaba")</f>
        <v>Joaçaba</v>
      </c>
      <c r="D475" s="24" t="str">
        <f>IFERROR(__xludf.DUMMYFUNCTION("""COMPUTED_VALUE"""),"Unoesc")</f>
        <v>Unoesc</v>
      </c>
      <c r="E475" s="25">
        <f>IFERROR(__xludf.DUMMYFUNCTION("""COMPUTED_VALUE"""),2018.0)</f>
        <v>2018</v>
      </c>
      <c r="F475" s="24" t="str">
        <f>IFERROR(__xludf.DUMMYFUNCTION("""COMPUTED_VALUE"""),"Direitos fundamentais, Educação, Trabalho")</f>
        <v>Direitos fundamentais, Educação, Trabalho</v>
      </c>
      <c r="G475" s="28" t="str">
        <f>IFERROR(__xludf.DUMMYFUNCTION("""COMPUTED_VALUE"""),"9788584221936")</f>
        <v>9788584221936</v>
      </c>
      <c r="H475" s="29" t="str">
        <f>IFERROR(__xludf.DUMMYFUNCTION("""COMPUTED_VALUE"""),"https://www.unoesc.edu.br/images/uploads/editora/Miolo_Ensaios_2018.pdf")</f>
        <v>https://www.unoesc.edu.br/images/uploads/editora/Miolo_Ensaios_2018.pdf</v>
      </c>
      <c r="I475" s="24" t="str">
        <f>IFERROR(__xludf.DUMMYFUNCTION("""COMPUTED_VALUE"""),"Ciências Sociais Aplicadas")</f>
        <v>Ciências Sociais Aplicadas</v>
      </c>
    </row>
    <row r="476">
      <c r="A476" s="24" t="str">
        <f>IFERROR(__xludf.DUMMYFUNCTION("""COMPUTED_VALUE"""),"Teorias da justiça e a morfologia dos direitos fundamentais")</f>
        <v>Teorias da justiça e a morfologia dos direitos fundamentais</v>
      </c>
      <c r="B476" s="24" t="str">
        <f>IFERROR(__xludf.DUMMYFUNCTION("""COMPUTED_VALUE"""),"Narciso Leandro Xavier Baez, Edson Antonio Baptista Nunes, Douglas Cristian Fontana")</f>
        <v>Narciso Leandro Xavier Baez, Edson Antonio Baptista Nunes, Douglas Cristian Fontana</v>
      </c>
      <c r="C476" s="24" t="str">
        <f>IFERROR(__xludf.DUMMYFUNCTION("""COMPUTED_VALUE"""),"Joaçaba")</f>
        <v>Joaçaba</v>
      </c>
      <c r="D476" s="24" t="str">
        <f>IFERROR(__xludf.DUMMYFUNCTION("""COMPUTED_VALUE"""),"Unoesc")</f>
        <v>Unoesc</v>
      </c>
      <c r="E476" s="25">
        <f>IFERROR(__xludf.DUMMYFUNCTION("""COMPUTED_VALUE"""),2017.0)</f>
        <v>2017</v>
      </c>
      <c r="F476" s="24" t="str">
        <f>IFERROR(__xludf.DUMMYFUNCTION("""COMPUTED_VALUE"""),"Direitos fundamentais, Dignidade humana,; Autonomia")</f>
        <v>Direitos fundamentais, Dignidade humana,; Autonomia</v>
      </c>
      <c r="G476" s="28" t="str">
        <f>IFERROR(__xludf.DUMMYFUNCTION("""COMPUTED_VALUE"""),"9788584221653")</f>
        <v>9788584221653</v>
      </c>
      <c r="H476" s="29" t="str">
        <f>IFERROR(__xludf.DUMMYFUNCTION("""COMPUTED_VALUE"""),"https://www.unoesc.edu.br/images/uploads/editora/Teorias_da_justi%c3%a7a.pdf")</f>
        <v>https://www.unoesc.edu.br/images/uploads/editora/Teorias_da_justi%c3%a7a.pdf</v>
      </c>
      <c r="I476" s="24" t="str">
        <f>IFERROR(__xludf.DUMMYFUNCTION("""COMPUTED_VALUE"""),"Ciências Sociais Aplicadas")</f>
        <v>Ciências Sociais Aplicadas</v>
      </c>
    </row>
    <row r="477">
      <c r="A477" s="24" t="str">
        <f>IFERROR(__xludf.DUMMYFUNCTION("""COMPUTED_VALUE"""),"Teorias da justiça e direitos indígenas")</f>
        <v>Teorias da justiça e direitos indígenas</v>
      </c>
      <c r="B477" s="24" t="str">
        <f>IFERROR(__xludf.DUMMYFUNCTION("""COMPUTED_VALUE"""),"Narciso Leandro Xavier Baez, Renato Rezende Gomes")</f>
        <v>Narciso Leandro Xavier Baez, Renato Rezende Gomes</v>
      </c>
      <c r="C477" s="24" t="str">
        <f>IFERROR(__xludf.DUMMYFUNCTION("""COMPUTED_VALUE"""),"Joaçaba")</f>
        <v>Joaçaba</v>
      </c>
      <c r="D477" s="24" t="str">
        <f>IFERROR(__xludf.DUMMYFUNCTION("""COMPUTED_VALUE"""),"Unoesc")</f>
        <v>Unoesc</v>
      </c>
      <c r="E477" s="25">
        <f>IFERROR(__xludf.DUMMYFUNCTION("""COMPUTED_VALUE"""),2017.0)</f>
        <v>2017</v>
      </c>
      <c r="F477" s="24" t="str">
        <f>IFERROR(__xludf.DUMMYFUNCTION("""COMPUTED_VALUE"""),"Direitos fundamentais, Direitos humanos,; Índios – Legislação")</f>
        <v>Direitos fundamentais, Direitos humanos,; Índios – Legislação</v>
      </c>
      <c r="G477" s="28" t="str">
        <f>IFERROR(__xludf.DUMMYFUNCTION("""COMPUTED_VALUE"""),"9788584221400")</f>
        <v>9788584221400</v>
      </c>
      <c r="H477" s="29" t="str">
        <f>IFERROR(__xludf.DUMMYFUNCTION("""COMPUTED_VALUE"""),"https://www.unoesc.edu.br/images/uploads/editora/S%c3%a9rie_Direitos_Fundamentais_Civis_Narciso_Renato_.pdf")</f>
        <v>https://www.unoesc.edu.br/images/uploads/editora/S%c3%a9rie_Direitos_Fundamentais_Civis_Narciso_Renato_.pdf</v>
      </c>
      <c r="I477" s="24" t="str">
        <f>IFERROR(__xludf.DUMMYFUNCTION("""COMPUTED_VALUE"""),"Ciências Sociais Aplicadas")</f>
        <v>Ciências Sociais Aplicadas</v>
      </c>
    </row>
    <row r="478">
      <c r="A478" s="24" t="str">
        <f>IFERROR(__xludf.DUMMYFUNCTION("""COMPUTED_VALUE"""),"Teorias da Justiça e Teoria da Segurança Social")</f>
        <v>Teorias da Justiça e Teoria da Segurança Social</v>
      </c>
      <c r="B478" s="24" t="str">
        <f>IFERROR(__xludf.DUMMYFUNCTION("""COMPUTED_VALUE"""),"Carlos Luiz Strapazzon e Robison Tramontina")</f>
        <v>Carlos Luiz Strapazzon e Robison Tramontina</v>
      </c>
      <c r="C478" s="24" t="str">
        <f>IFERROR(__xludf.DUMMYFUNCTION("""COMPUTED_VALUE"""),"Joaçaba")</f>
        <v>Joaçaba</v>
      </c>
      <c r="D478" s="24" t="str">
        <f>IFERROR(__xludf.DUMMYFUNCTION("""COMPUTED_VALUE"""),"Unoesc")</f>
        <v>Unoesc</v>
      </c>
      <c r="E478" s="25">
        <f>IFERROR(__xludf.DUMMYFUNCTION("""COMPUTED_VALUE"""),2017.0)</f>
        <v>2017</v>
      </c>
      <c r="F478" s="24" t="str">
        <f>IFERROR(__xludf.DUMMYFUNCTION("""COMPUTED_VALUE"""),"Direitos fundamentais, Seguridade social")</f>
        <v>Direitos fundamentais, Seguridade social</v>
      </c>
      <c r="G478" s="28" t="str">
        <f>IFERROR(__xludf.DUMMYFUNCTION("""COMPUTED_VALUE"""),"9788584221448")</f>
        <v>9788584221448</v>
      </c>
      <c r="H478" s="29" t="str">
        <f>IFERROR(__xludf.DUMMYFUNCTION("""COMPUTED_VALUE"""),"https://www.unoesc.edu.br/images/uploads/editora/S%c3%a9rie_Direitos_Fundamentais_Sociais_Carlos_Robison_.pdf")</f>
        <v>https://www.unoesc.edu.br/images/uploads/editora/S%c3%a9rie_Direitos_Fundamentais_Sociais_Carlos_Robison_.pdf</v>
      </c>
      <c r="I478" s="24" t="str">
        <f>IFERROR(__xludf.DUMMYFUNCTION("""COMPUTED_VALUE"""),"Ciências Sociais Aplicadas")</f>
        <v>Ciências Sociais Aplicadas</v>
      </c>
    </row>
    <row r="479">
      <c r="A479" s="24" t="str">
        <f>IFERROR(__xludf.DUMMYFUNCTION("""COMPUTED_VALUE"""),"Teorias da Justiça: categorias centrais, teses e interlocuções")</f>
        <v>Teorias da Justiça: categorias centrais, teses e interlocuções</v>
      </c>
      <c r="B479" s="24" t="str">
        <f>IFERROR(__xludf.DUMMYFUNCTION("""COMPUTED_VALUE"""),"Ana Claudia Rockemback, Natálie Vailatti, Robison Tramontina")</f>
        <v>Ana Claudia Rockemback, Natálie Vailatti, Robison Tramontina</v>
      </c>
      <c r="C479" s="24" t="str">
        <f>IFERROR(__xludf.DUMMYFUNCTION("""COMPUTED_VALUE"""),"Joaçaba")</f>
        <v>Joaçaba</v>
      </c>
      <c r="D479" s="24" t="str">
        <f>IFERROR(__xludf.DUMMYFUNCTION("""COMPUTED_VALUE"""),"Unoesc")</f>
        <v>Unoesc</v>
      </c>
      <c r="E479" s="25">
        <f>IFERROR(__xludf.DUMMYFUNCTION("""COMPUTED_VALUE"""),2019.0)</f>
        <v>2019</v>
      </c>
      <c r="F479" s="24" t="str">
        <f>IFERROR(__xludf.DUMMYFUNCTION("""COMPUTED_VALUE"""),"Direitos fundamentais, Direito - Filosofia,; Justiça (Filosofia)")</f>
        <v>Direitos fundamentais, Direito - Filosofia,; Justiça (Filosofia)</v>
      </c>
      <c r="G479" s="28" t="str">
        <f>IFERROR(__xludf.DUMMYFUNCTION("""COMPUTED_VALUE"""),"9788584222070")</f>
        <v>9788584222070</v>
      </c>
      <c r="H479" s="29" t="str">
        <f>IFERROR(__xludf.DUMMYFUNCTION("""COMPUTED_VALUE"""),"https://www.unoesc.edu.br/images/uploads/editora/Miolo_Teorias_da_Justi%c3%a7a.pdf")</f>
        <v>https://www.unoesc.edu.br/images/uploads/editora/Miolo_Teorias_da_Justi%c3%a7a.pdf</v>
      </c>
      <c r="I479" s="24" t="str">
        <f>IFERROR(__xludf.DUMMYFUNCTION("""COMPUTED_VALUE"""),"Ciências Sociais Aplicadas")</f>
        <v>Ciências Sociais Aplicadas</v>
      </c>
    </row>
    <row r="480">
      <c r="A480" s="24" t="str">
        <f>IFERROR(__xludf.DUMMYFUNCTION("""COMPUTED_VALUE"""),"Territórios migrantes, interfaces expandidas ")</f>
        <v>Territórios migrantes, interfaces expandidas </v>
      </c>
      <c r="B480" s="24" t="str">
        <f>IFERROR(__xludf.DUMMYFUNCTION("""COMPUTED_VALUE"""),"Eliana Nagamini, Ana Luisa Zaniboni (org.)")</f>
        <v>Eliana Nagamini, Ana Luisa Zaniboni (org.)</v>
      </c>
      <c r="C480" s="24" t="str">
        <f>IFERROR(__xludf.DUMMYFUNCTION("""COMPUTED_VALUE"""),"Ilhéus, BA")</f>
        <v>Ilhéus, BA</v>
      </c>
      <c r="D480" s="24" t="str">
        <f>IFERROR(__xludf.DUMMYFUNCTION("""COMPUTED_VALUE"""),"Editus")</f>
        <v>Editus</v>
      </c>
      <c r="E480" s="25">
        <f>IFERROR(__xludf.DUMMYFUNCTION("""COMPUTED_VALUE"""),2018.0)</f>
        <v>2018</v>
      </c>
      <c r="F480" s="24" t="str">
        <f>IFERROR(__xludf.DUMMYFUNCTION("""COMPUTED_VALUE"""),"Comunicação na educação; Educação –; Efeito das inovações tecnológicas; Comunicação – Estudo e ensino")</f>
        <v>Comunicação na educação; Educação –; Efeito das inovações tecnológicas; Comunicação – Estudo e ensino</v>
      </c>
      <c r="G480" s="28" t="str">
        <f>IFERROR(__xludf.DUMMYFUNCTION("""COMPUTED_VALUE"""),"9788574555102")</f>
        <v>9788574555102</v>
      </c>
      <c r="H480" s="29" t="str">
        <f>IFERROR(__xludf.DUMMYFUNCTION("""COMPUTED_VALUE"""),"http://www.uesc.br/editora/livrosdigitais2020/com_e_edu5.pdf")</f>
        <v>http://www.uesc.br/editora/livrosdigitais2020/com_e_edu5.pdf</v>
      </c>
      <c r="I480" s="24" t="str">
        <f>IFERROR(__xludf.DUMMYFUNCTION("""COMPUTED_VALUE"""),"Ciências Sociais Aplicadas")</f>
        <v>Ciências Sociais Aplicadas</v>
      </c>
    </row>
    <row r="481">
      <c r="A481" s="24" t="str">
        <f>IFERROR(__xludf.DUMMYFUNCTION("""COMPUTED_VALUE"""),"Tessituras: Experiências e Vivências em Artes Visuais (disponível temporariamente)")</f>
        <v>Tessituras: Experiências e Vivências em Artes Visuais (disponível temporariamente)</v>
      </c>
      <c r="B481" s="24" t="str">
        <f>IFERROR(__xludf.DUMMYFUNCTION("""COMPUTED_VALUE"""),"Lívia Marques Carvalho, Maria Betânia e Silva, Robson Xavier da Costa, organizadores.")</f>
        <v>Lívia Marques Carvalho, Maria Betânia e Silva, Robson Xavier da Costa, organizadores.</v>
      </c>
      <c r="C481" s="24" t="str">
        <f>IFERROR(__xludf.DUMMYFUNCTION("""COMPUTED_VALUE"""),"João Pessoa")</f>
        <v>João Pessoa</v>
      </c>
      <c r="D481" s="24" t="str">
        <f>IFERROR(__xludf.DUMMYFUNCTION("""COMPUTED_VALUE"""),"Editora da UFPB")</f>
        <v>Editora da UFPB</v>
      </c>
      <c r="E481" s="25">
        <f>IFERROR(__xludf.DUMMYFUNCTION("""COMPUTED_VALUE"""),2015.0)</f>
        <v>2015</v>
      </c>
      <c r="F481" s="24" t="str">
        <f>IFERROR(__xludf.DUMMYFUNCTION("""COMPUTED_VALUE""")," Artes visuais; Práticas pedagógicas; Ensino de arte; Arte e cultura")</f>
        <v> Artes visuais; Práticas pedagógicas; Ensino de arte; Arte e cultura</v>
      </c>
      <c r="G481" s="28" t="str">
        <f>IFERROR(__xludf.DUMMYFUNCTION("""COMPUTED_VALUE"""),"9788523710682")</f>
        <v>9788523710682</v>
      </c>
      <c r="H481" s="29" t="str">
        <f>IFERROR(__xludf.DUMMYFUNCTION("""COMPUTED_VALUE"""),"http://www.editora.ufpb.br/sistema/press5/index.php/UFPB/catalog/book/398")</f>
        <v>http://www.editora.ufpb.br/sistema/press5/index.php/UFPB/catalog/book/398</v>
      </c>
      <c r="I481" s="24" t="str">
        <f>IFERROR(__xludf.DUMMYFUNCTION("""COMPUTED_VALUE"""),"Ciências Sociais Aplicadas")</f>
        <v>Ciências Sociais Aplicadas</v>
      </c>
    </row>
    <row r="482">
      <c r="A482" s="24" t="str">
        <f>IFERROR(__xludf.DUMMYFUNCTION("""COMPUTED_VALUE"""),"Textos em ciências sociais: pesquisa e conhecimento na interface sociedade-saúde (disponível temporariamente)")</f>
        <v>Textos em ciências sociais: pesquisa e conhecimento na interface sociedade-saúde (disponível temporariamente)</v>
      </c>
      <c r="B482" s="24" t="str">
        <f>IFERROR(__xludf.DUMMYFUNCTION("""COMPUTED_VALUE"""),"Ednalva Maciel Neves (organizadora)")</f>
        <v>Ednalva Maciel Neves (organizadora)</v>
      </c>
      <c r="C482" s="24" t="str">
        <f>IFERROR(__xludf.DUMMYFUNCTION("""COMPUTED_VALUE"""),"João Pessoa")</f>
        <v>João Pessoa</v>
      </c>
      <c r="D482" s="24" t="str">
        <f>IFERROR(__xludf.DUMMYFUNCTION("""COMPUTED_VALUE"""),"Editora da UFPB")</f>
        <v>Editora da UFPB</v>
      </c>
      <c r="E482" s="25">
        <f>IFERROR(__xludf.DUMMYFUNCTION("""COMPUTED_VALUE"""),2019.0)</f>
        <v>2019</v>
      </c>
      <c r="F482" s="24" t="str">
        <f>IFERROR(__xludf.DUMMYFUNCTION("""COMPUTED_VALUE"""),"Práticas sociais; Ciências médicas; Socioantropologia; Sociedade; Ciências Sociais")</f>
        <v>Práticas sociais; Ciências médicas; Socioantropologia; Sociedade; Ciências Sociais</v>
      </c>
      <c r="G482" s="28" t="str">
        <f>IFERROR(__xludf.DUMMYFUNCTION("""COMPUTED_VALUE"""),"9788523714000")</f>
        <v>9788523714000</v>
      </c>
      <c r="H482" s="29" t="str">
        <f>IFERROR(__xludf.DUMMYFUNCTION("""COMPUTED_VALUE"""),"http://www.editora.ufpb.br/sistema/press5/index.php/UFPB/catalog/book/372")</f>
        <v>http://www.editora.ufpb.br/sistema/press5/index.php/UFPB/catalog/book/372</v>
      </c>
      <c r="I482" s="24" t="str">
        <f>IFERROR(__xludf.DUMMYFUNCTION("""COMPUTED_VALUE"""),"Ciências Sociais Aplicadas")</f>
        <v>Ciências Sociais Aplicadas</v>
      </c>
    </row>
    <row r="483">
      <c r="A483" s="24" t="str">
        <f>IFERROR(__xludf.DUMMYFUNCTION("""COMPUTED_VALUE"""),"Trabalhadoras Domésticas : Trilhas de desigualdade e invisibilidade social")</f>
        <v>Trabalhadoras Domésticas : Trilhas de desigualdade e invisibilidade social</v>
      </c>
      <c r="B483" s="24" t="str">
        <f>IFERROR(__xludf.DUMMYFUNCTION("""COMPUTED_VALUE"""),"Flávio Romero Guimarães")</f>
        <v>Flávio Romero Guimarães</v>
      </c>
      <c r="C483" s="24" t="str">
        <f>IFERROR(__xludf.DUMMYFUNCTION("""COMPUTED_VALUE"""),"Campina Grande")</f>
        <v>Campina Grande</v>
      </c>
      <c r="D483" s="24" t="str">
        <f>IFERROR(__xludf.DUMMYFUNCTION("""COMPUTED_VALUE"""),"EDUEPB")</f>
        <v>EDUEPB</v>
      </c>
      <c r="E483" s="25">
        <f>IFERROR(__xludf.DUMMYFUNCTION("""COMPUTED_VALUE"""),2018.0)</f>
        <v>2018</v>
      </c>
      <c r="F483" s="24" t="str">
        <f>IFERROR(__xludf.DUMMYFUNCTION("""COMPUTED_VALUE"""),"Serviço doméstico. Gênero. Nível de escolaridade. Emprego doméstico")</f>
        <v>Serviço doméstico. Gênero. Nível de escolaridade. Emprego doméstico</v>
      </c>
      <c r="G483" s="28" t="str">
        <f>IFERROR(__xludf.DUMMYFUNCTION("""COMPUTED_VALUE"""),"9788578794644")</f>
        <v>9788578794644</v>
      </c>
      <c r="H483" s="29" t="str">
        <f>IFERROR(__xludf.DUMMYFUNCTION("""COMPUTED_VALUE"""),"http://eduepb.uepb.edu.br/download/trabalhadoras-domesticas-trilhas-de-desigualdade-e-invisibilidade-social/?wpdmdl=348&amp;amp;masterkey=5b02c475e8be4")</f>
        <v>http://eduepb.uepb.edu.br/download/trabalhadoras-domesticas-trilhas-de-desigualdade-e-invisibilidade-social/?wpdmdl=348&amp;amp;masterkey=5b02c475e8be4</v>
      </c>
      <c r="I483" s="24" t="str">
        <f>IFERROR(__xludf.DUMMYFUNCTION("""COMPUTED_VALUE"""),"Ciências Sociais Aplicadas")</f>
        <v>Ciências Sociais Aplicadas</v>
      </c>
    </row>
    <row r="484">
      <c r="A484" s="24" t="str">
        <f>IFERROR(__xludf.DUMMYFUNCTION("""COMPUTED_VALUE"""),"Tráfico de Pessoas no Estado da Paraíba: Um Diagnóstico")</f>
        <v>Tráfico de Pessoas no Estado da Paraíba: Um Diagnóstico</v>
      </c>
      <c r="B484" s="24" t="str">
        <f>IFERROR(__xludf.DUMMYFUNCTION("""COMPUTED_VALUE"""),"Sven Peterke, Robsons Antão de Medeiro.")</f>
        <v>Sven Peterke, Robsons Antão de Medeiro.</v>
      </c>
      <c r="C484" s="24" t="str">
        <f>IFERROR(__xludf.DUMMYFUNCTION("""COMPUTED_VALUE"""),"João Pessoa")</f>
        <v>João Pessoa</v>
      </c>
      <c r="D484" s="24" t="str">
        <f>IFERROR(__xludf.DUMMYFUNCTION("""COMPUTED_VALUE"""),"Editora da UFPB")</f>
        <v>Editora da UFPB</v>
      </c>
      <c r="E484" s="25">
        <f>IFERROR(__xludf.DUMMYFUNCTION("""COMPUTED_VALUE"""),2017.0)</f>
        <v>2017</v>
      </c>
      <c r="F484" s="24" t="str">
        <f>IFERROR(__xludf.DUMMYFUNCTION("""COMPUTED_VALUE"""),"Tráfico de pessoas - Paraiba - Brasil")</f>
        <v>Tráfico de pessoas - Paraiba - Brasil</v>
      </c>
      <c r="G484" s="28" t="str">
        <f>IFERROR(__xludf.DUMMYFUNCTION("""COMPUTED_VALUE"""),"9878523713065")</f>
        <v>9878523713065</v>
      </c>
      <c r="H484" s="29" t="str">
        <f>IFERROR(__xludf.DUMMYFUNCTION("""COMPUTED_VALUE"""),"http://www.editora.ufpb.br/sistema/press5/index.php/UFPB/catalog/book/113")</f>
        <v>http://www.editora.ufpb.br/sistema/press5/index.php/UFPB/catalog/book/113</v>
      </c>
      <c r="I484" s="24" t="str">
        <f>IFERROR(__xludf.DUMMYFUNCTION("""COMPUTED_VALUE"""),"Ciências Sociais Aplicadas")</f>
        <v>Ciências Sociais Aplicadas</v>
      </c>
    </row>
    <row r="485">
      <c r="A485" s="24" t="str">
        <f>IFERROR(__xludf.DUMMYFUNCTION("""COMPUTED_VALUE"""),"Transmutações No Jornalismo")</f>
        <v>Transmutações No Jornalismo</v>
      </c>
      <c r="B485" s="24" t="str">
        <f>IFERROR(__xludf.DUMMYFUNCTION("""COMPUTED_VALUE"""),"Fernando Firmino da Silva (org.)")</f>
        <v>Fernando Firmino da Silva (org.)</v>
      </c>
      <c r="C485" s="24" t="str">
        <f>IFERROR(__xludf.DUMMYFUNCTION("""COMPUTED_VALUE"""),"Campina Grande")</f>
        <v>Campina Grande</v>
      </c>
      <c r="D485" s="24" t="str">
        <f>IFERROR(__xludf.DUMMYFUNCTION("""COMPUTED_VALUE"""),"EDUEPB")</f>
        <v>EDUEPB</v>
      </c>
      <c r="E485" s="25">
        <f>IFERROR(__xludf.DUMMYFUNCTION("""COMPUTED_VALUE"""),2016.0)</f>
        <v>2016</v>
      </c>
      <c r="F485" s="24" t="str">
        <f>IFERROR(__xludf.DUMMYFUNCTION("""COMPUTED_VALUE"""),"Jornalismo. Novos formatos para distribuição de notícias. Mobilidade da informação. Jornalismo móvel. Designer; da informação. Webjornalismo")</f>
        <v>Jornalismo. Novos formatos para distribuição de notícias. Mobilidade da informação. Jornalismo móvel. Designer; da informação. Webjornalismo</v>
      </c>
      <c r="G485" s="28" t="str">
        <f>IFERROR(__xludf.DUMMYFUNCTION("""COMPUTED_VALUE"""),"9788578793111")</f>
        <v>9788578793111</v>
      </c>
      <c r="H485" s="29" t="str">
        <f>IFERROR(__xludf.DUMMYFUNCTION("""COMPUTED_VALUE"""),"http://eduepb.uepb.edu.br/download/transmutacoes-no-jornalismo/?wpdmdl=224&amp;amp;masterkey=5af9a2ce27f25")</f>
        <v>http://eduepb.uepb.edu.br/download/transmutacoes-no-jornalismo/?wpdmdl=224&amp;amp;masterkey=5af9a2ce27f25</v>
      </c>
      <c r="I485" s="24" t="str">
        <f>IFERROR(__xludf.DUMMYFUNCTION("""COMPUTED_VALUE"""),"Ciências Sociais Aplicadas")</f>
        <v>Ciências Sociais Aplicadas</v>
      </c>
    </row>
    <row r="486">
      <c r="A486" s="24" t="str">
        <f>IFERROR(__xludf.DUMMYFUNCTION("""COMPUTED_VALUE"""),"Transportes e políticas públicas em Mato Grosso do Sul. ")</f>
        <v>Transportes e políticas públicas em Mato Grosso do Sul. </v>
      </c>
      <c r="B486" s="24" t="str">
        <f>IFERROR(__xludf.DUMMYFUNCTION("""COMPUTED_VALUE"""),"Lisandra Pereira Lamoso, organizadora. ")</f>
        <v>Lisandra Pereira Lamoso, organizadora. </v>
      </c>
      <c r="C486" s="24" t="str">
        <f>IFERROR(__xludf.DUMMYFUNCTION("""COMPUTED_VALUE"""),"Dourados, MS")</f>
        <v>Dourados, MS</v>
      </c>
      <c r="D486" s="24" t="str">
        <f>IFERROR(__xludf.DUMMYFUNCTION("""COMPUTED_VALUE"""),"Editora da UFGD")</f>
        <v>Editora da UFGD</v>
      </c>
      <c r="E486" s="25">
        <f>IFERROR(__xludf.DUMMYFUNCTION("""COMPUTED_VALUE"""),2008.0)</f>
        <v>2008</v>
      </c>
      <c r="F486" s="24" t="str">
        <f>IFERROR(__xludf.DUMMYFUNCTION("""COMPUTED_VALUE"""),"Políticas públicas – Mato Grosso do Sul; Desenvolvimento regional – Mato Grosso do Sul; Transportes – Mato Grosso do Sul; Planejamento regional; Habitação")</f>
        <v>Políticas públicas – Mato Grosso do Sul; Desenvolvimento regional – Mato Grosso do Sul; Transportes – Mato Grosso do Sul; Planejamento regional; Habitação</v>
      </c>
      <c r="G486" s="28" t="str">
        <f>IFERROR(__xludf.DUMMYFUNCTION("""COMPUTED_VALUE"""),"9788561228071")</f>
        <v>9788561228071</v>
      </c>
      <c r="H486" s="29" t="str">
        <f>IFERROR(__xludf.DUMMYFUNCTION("""COMPUTED_VALUE"""),"http://omp.ufgd.edu.br/omp/index.php/livrosabertos/catalog/view/23/21/68-1")</f>
        <v>http://omp.ufgd.edu.br/omp/index.php/livrosabertos/catalog/view/23/21/68-1</v>
      </c>
      <c r="I486" s="24" t="str">
        <f>IFERROR(__xludf.DUMMYFUNCTION("""COMPUTED_VALUE"""),"Ciências Sociais Aplicadas")</f>
        <v>Ciências Sociais Aplicadas</v>
      </c>
    </row>
    <row r="487">
      <c r="A487" s="24" t="str">
        <f>IFERROR(__xludf.DUMMYFUNCTION("""COMPUTED_VALUE"""),"Tribunal do júri: de conformidade com a Lei n. 11.689, de 09 de junho de 2008 e com a ordem constitucional ")</f>
        <v>Tribunal do júri: de conformidade com a Lei n. 11.689, de 09 de junho de 2008 e com a ordem constitucional </v>
      </c>
      <c r="B487" s="24" t="str">
        <f>IFERROR(__xludf.DUMMYFUNCTION("""COMPUTED_VALUE"""),"Marcos Bandeira")</f>
        <v>Marcos Bandeira</v>
      </c>
      <c r="C487" s="24" t="str">
        <f>IFERROR(__xludf.DUMMYFUNCTION("""COMPUTED_VALUE"""),"Ilhéus, BA")</f>
        <v>Ilhéus, BA</v>
      </c>
      <c r="D487" s="24" t="str">
        <f>IFERROR(__xludf.DUMMYFUNCTION("""COMPUTED_VALUE"""),"Editus")</f>
        <v>Editus</v>
      </c>
      <c r="E487" s="25">
        <f>IFERROR(__xludf.DUMMYFUNCTION("""COMPUTED_VALUE"""),2010.0)</f>
        <v>2010</v>
      </c>
      <c r="F487" s="24" t="str">
        <f>IFERROR(__xludf.DUMMYFUNCTION("""COMPUTED_VALUE"""),"Júri; Júri – Brasil – História")</f>
        <v>Júri; Júri – Brasil – História</v>
      </c>
      <c r="G487" s="28" t="str">
        <f>IFERROR(__xludf.DUMMYFUNCTION("""COMPUTED_VALUE"""),"9788574551951")</f>
        <v>9788574551951</v>
      </c>
      <c r="H487" s="29" t="str">
        <f>IFERROR(__xludf.DUMMYFUNCTION("""COMPUTED_VALUE"""),"http://www.uesc.br/editora/livrosdigitais2015/tribunal_do_juri.pdf")</f>
        <v>http://www.uesc.br/editora/livrosdigitais2015/tribunal_do_juri.pdf</v>
      </c>
      <c r="I487" s="24" t="str">
        <f>IFERROR(__xludf.DUMMYFUNCTION("""COMPUTED_VALUE"""),"Ciências Sociais Aplicadas")</f>
        <v>Ciências Sociais Aplicadas</v>
      </c>
    </row>
    <row r="488">
      <c r="A488" s="24" t="str">
        <f>IFERROR(__xludf.DUMMYFUNCTION("""COMPUTED_VALUE"""),"Um museu paratodos: manual paraprogramas deacessibilidade")</f>
        <v>Um museu paratodos: manual paraprogramas deacessibilidade</v>
      </c>
      <c r="B488" s="24" t="str">
        <f>IFERROR(__xludf.DUMMYFUNCTION("""COMPUTED_VALUE"""),"Salasar, Desirée Nobre")</f>
        <v>Salasar, Desirée Nobre</v>
      </c>
      <c r="C488" s="24" t="str">
        <f>IFERROR(__xludf.DUMMYFUNCTION("""COMPUTED_VALUE"""),"Pelotas")</f>
        <v>Pelotas</v>
      </c>
      <c r="D488" s="24" t="str">
        <f>IFERROR(__xludf.DUMMYFUNCTION("""COMPUTED_VALUE"""),"UFPel")</f>
        <v>UFPel</v>
      </c>
      <c r="E488" s="25">
        <f>IFERROR(__xludf.DUMMYFUNCTION("""COMPUTED_VALUE"""),2019.0)</f>
        <v>2019</v>
      </c>
      <c r="F488" s="24" t="str">
        <f>IFERROR(__xludf.DUMMYFUNCTION("""COMPUTED_VALUE"""),"Museus; Acessibilidade; Ambientes culturais - inclusão")</f>
        <v>Museus; Acessibilidade; Ambientes culturais - inclusão</v>
      </c>
      <c r="G488" s="28" t="str">
        <f>IFERROR(__xludf.DUMMYFUNCTION("""COMPUTED_VALUE"""),"978871929685")</f>
        <v>978871929685</v>
      </c>
      <c r="H488" s="29" t="str">
        <f>IFERROR(__xludf.DUMMYFUNCTION("""COMPUTED_VALUE"""),"http://guaiaca.ufpel.edu.br/bitstream/prefix/4390/1/Um%20museu%20para%20todos.%20manual%20para%20programas%20de%20acessibilidade.pdf")</f>
        <v>http://guaiaca.ufpel.edu.br/bitstream/prefix/4390/1/Um%20museu%20para%20todos.%20manual%20para%20programas%20de%20acessibilidade.pdf</v>
      </c>
      <c r="I488" s="24" t="str">
        <f>IFERROR(__xludf.DUMMYFUNCTION("""COMPUTED_VALUE"""),"Ciências Sociais Aplicadas")</f>
        <v>Ciências Sociais Aplicadas</v>
      </c>
    </row>
    <row r="489">
      <c r="A489" s="24" t="str">
        <f>IFERROR(__xludf.DUMMYFUNCTION("""COMPUTED_VALUE"""),"Uma década de reformas: reestruturação dos órgãos e das atividades estatais na Argentina e no Brasil de 1989 a 1999")</f>
        <v>Uma década de reformas: reestruturação dos órgãos e das atividades estatais na Argentina e no Brasil de 1989 a 1999</v>
      </c>
      <c r="B489" s="24" t="str">
        <f>IFERROR(__xludf.DUMMYFUNCTION("""COMPUTED_VALUE"""),"Visentini, Georgine Simões ")</f>
        <v>Visentini, Georgine Simões </v>
      </c>
      <c r="C489" s="24" t="str">
        <f>IFERROR(__xludf.DUMMYFUNCTION("""COMPUTED_VALUE"""),"Porto Alegre")</f>
        <v>Porto Alegre</v>
      </c>
      <c r="D489" s="24" t="str">
        <f>IFERROR(__xludf.DUMMYFUNCTION("""COMPUTED_VALUE"""),"UFRGS")</f>
        <v>UFRGS</v>
      </c>
      <c r="E489" s="25">
        <f>IFERROR(__xludf.DUMMYFUNCTION("""COMPUTED_VALUE"""),2014.0)</f>
        <v>2014</v>
      </c>
      <c r="F489" s="24" t="str">
        <f>IFERROR(__xludf.DUMMYFUNCTION("""COMPUTED_VALUE"""),"Análise política; Argentina; Brasil; Política comparada; Privatização; Reforma administrativa; Reforma do estado")</f>
        <v>Análise política; Argentina; Brasil; Política comparada; Privatização; Reforma administrativa; Reforma do estado</v>
      </c>
      <c r="G489" s="28" t="str">
        <f>IFERROR(__xludf.DUMMYFUNCTION("""COMPUTED_VALUE"""),"9788538605089")</f>
        <v>9788538605089</v>
      </c>
      <c r="H489" s="29" t="str">
        <f>IFERROR(__xludf.DUMMYFUNCTION("""COMPUTED_VALUE"""),"http://hdl.handle.net/10183/213344")</f>
        <v>http://hdl.handle.net/10183/213344</v>
      </c>
      <c r="I489" s="24" t="str">
        <f>IFERROR(__xludf.DUMMYFUNCTION("""COMPUTED_VALUE"""),"Ciências Sociais Aplicadas")</f>
        <v>Ciências Sociais Aplicadas</v>
      </c>
    </row>
    <row r="490">
      <c r="A490" s="24" t="str">
        <f>IFERROR(__xludf.DUMMYFUNCTION("""COMPUTED_VALUE"""),"Vida: reprodução humana assistida – seus conflitos e convergências")</f>
        <v>Vida: reprodução humana assistida – seus conflitos e convergências</v>
      </c>
      <c r="B490" s="24" t="str">
        <f>IFERROR(__xludf.DUMMYFUNCTION("""COMPUTED_VALUE"""),"Janaína Reckziegel, Jhonatan Felipe Laurindo Gomes Duarte")</f>
        <v>Janaína Reckziegel, Jhonatan Felipe Laurindo Gomes Duarte</v>
      </c>
      <c r="C490" s="24" t="str">
        <f>IFERROR(__xludf.DUMMYFUNCTION("""COMPUTED_VALUE"""),"Joaçaba")</f>
        <v>Joaçaba</v>
      </c>
      <c r="D490" s="24" t="str">
        <f>IFERROR(__xludf.DUMMYFUNCTION("""COMPUTED_VALUE"""),"Unoesc")</f>
        <v>Unoesc</v>
      </c>
      <c r="E490" s="25">
        <f>IFERROR(__xludf.DUMMYFUNCTION("""COMPUTED_VALUE"""),2020.0)</f>
        <v>2020</v>
      </c>
      <c r="F490" s="24" t="str">
        <f>IFERROR(__xludf.DUMMYFUNCTION("""COMPUTED_VALUE"""),"Dignidade, Reprodução humana, Direitos; fundamentais")</f>
        <v>Dignidade, Reprodução humana, Direitos; fundamentais</v>
      </c>
      <c r="G490" s="28" t="str">
        <f>IFERROR(__xludf.DUMMYFUNCTION("""COMPUTED_VALUE"""),"9788584222186")</f>
        <v>9788584222186</v>
      </c>
      <c r="H490" s="29" t="str">
        <f>IFERROR(__xludf.DUMMYFUNCTION("""COMPUTED_VALUE"""),"https://www.unoesc.edu.br/images/uploads/editora/Miolo_Vida_reprodu%c3%a7%c3%a3o_novo_2.pdf")</f>
        <v>https://www.unoesc.edu.br/images/uploads/editora/Miolo_Vida_reprodu%c3%a7%c3%a3o_novo_2.pdf</v>
      </c>
      <c r="I490" s="24" t="str">
        <f>IFERROR(__xludf.DUMMYFUNCTION("""COMPUTED_VALUE"""),"Ciências Sociais Aplicadas")</f>
        <v>Ciências Sociais Aplicadas</v>
      </c>
    </row>
    <row r="491">
      <c r="A491" s="24" t="str">
        <f>IFERROR(__xludf.DUMMYFUNCTION("""COMPUTED_VALUE"""),"Vidas desarquivadas: memórias que narram os arquivos privados pessoais (disponível temporariamente)")</f>
        <v>Vidas desarquivadas: memórias que narram os arquivos privados pessoais (disponível temporariamente)</v>
      </c>
      <c r="B491" s="24" t="str">
        <f>IFERROR(__xludf.DUMMYFUNCTION("""COMPUTED_VALUE"""),"Bernardina Maria, Juvenal Freire de Oliveira, Maria Nilza Barbosa Rosa, Ana Cláudia Cruz Córdula (organizadoras)")</f>
        <v>Bernardina Maria, Juvenal Freire de Oliveira, Maria Nilza Barbosa Rosa, Ana Cláudia Cruz Córdula (organizadoras)</v>
      </c>
      <c r="C491" s="24" t="str">
        <f>IFERROR(__xludf.DUMMYFUNCTION("""COMPUTED_VALUE"""),"João Pessoa")</f>
        <v>João Pessoa</v>
      </c>
      <c r="D491" s="24" t="str">
        <f>IFERROR(__xludf.DUMMYFUNCTION("""COMPUTED_VALUE"""),"Editora da UFPB")</f>
        <v>Editora da UFPB</v>
      </c>
      <c r="E491" s="25">
        <f>IFERROR(__xludf.DUMMYFUNCTION("""COMPUTED_VALUE"""),2019.0)</f>
        <v>2019</v>
      </c>
      <c r="F491" s="24" t="str">
        <f>IFERROR(__xludf.DUMMYFUNCTION("""COMPUTED_VALUE"""),"Acervos arquivísticos; Arquivos privados; Informação e memória")</f>
        <v>Acervos arquivísticos; Arquivos privados; Informação e memória</v>
      </c>
      <c r="G491" s="28" t="str">
        <f>IFERROR(__xludf.DUMMYFUNCTION("""COMPUTED_VALUE"""),"9788523714635")</f>
        <v>9788523714635</v>
      </c>
      <c r="H491" s="29" t="str">
        <f>IFERROR(__xludf.DUMMYFUNCTION("""COMPUTED_VALUE"""),"http://www.editora.ufpb.br/sistema/press5/index.php/UFPB/catalog/book/361")</f>
        <v>http://www.editora.ufpb.br/sistema/press5/index.php/UFPB/catalog/book/361</v>
      </c>
      <c r="I491" s="24" t="str">
        <f>IFERROR(__xludf.DUMMYFUNCTION("""COMPUTED_VALUE"""),"Ciências Sociais Aplicadas")</f>
        <v>Ciências Sociais Aplicadas</v>
      </c>
    </row>
    <row r="492">
      <c r="A492" s="24" t="str">
        <f>IFERROR(__xludf.DUMMYFUNCTION("""COMPUTED_VALUE"""),"Viva o Brasil! Reflexões sobre empreendedorismo, marketing, cultura, cotidiano, política e educação")</f>
        <v>Viva o Brasil! Reflexões sobre empreendedorismo, marketing, cultura, cotidiano, política e educação</v>
      </c>
      <c r="B492" s="24" t="str">
        <f>IFERROR(__xludf.DUMMYFUNCTION("""COMPUTED_VALUE"""),"Lucas Rodrigo Santos de Almeida")</f>
        <v>Lucas Rodrigo Santos de Almeida</v>
      </c>
      <c r="C492" s="24" t="str">
        <f>IFERROR(__xludf.DUMMYFUNCTION("""COMPUTED_VALUE"""),"João Pessoa")</f>
        <v>João Pessoa</v>
      </c>
      <c r="D492" s="24" t="str">
        <f>IFERROR(__xludf.DUMMYFUNCTION("""COMPUTED_VALUE"""),"Editora IFPB")</f>
        <v>Editora IFPB</v>
      </c>
      <c r="E492" s="25">
        <f>IFERROR(__xludf.DUMMYFUNCTION("""COMPUTED_VALUE"""),2018.0)</f>
        <v>2018</v>
      </c>
      <c r="F492" s="24" t="str">
        <f>IFERROR(__xludf.DUMMYFUNCTION("""COMPUTED_VALUE"""),"Empreendedorismo - Brasil; Negócios – marketing; Cultura organizacional; Política; Educação")</f>
        <v>Empreendedorismo - Brasil; Negócios – marketing; Cultura organizacional; Política; Educação</v>
      </c>
      <c r="G492" s="28" t="str">
        <f>IFERROR(__xludf.DUMMYFUNCTION("""COMPUTED_VALUE"""),"9788554490171")</f>
        <v>9788554490171</v>
      </c>
      <c r="H492" s="29" t="str">
        <f>IFERROR(__xludf.DUMMYFUNCTION("""COMPUTED_VALUE"""),"http://editora.ifpb.edu.br/index.php/ifpb/catalog/book/95")</f>
        <v>http://editora.ifpb.edu.br/index.php/ifpb/catalog/book/95</v>
      </c>
      <c r="I492" s="24" t="str">
        <f>IFERROR(__xludf.DUMMYFUNCTION("""COMPUTED_VALUE"""),"Ciências Sociais Aplicadas")</f>
        <v>Ciências Sociais Aplicadas</v>
      </c>
    </row>
    <row r="493">
      <c r="A493" s="24" t="str">
        <f>IFERROR(__xludf.DUMMYFUNCTION("""COMPUTED_VALUE"""),"Work in Brazil: essays in historical and economic sociology")</f>
        <v>Work in Brazil: essays in historical and economic sociology</v>
      </c>
      <c r="B493" s="24" t="str">
        <f>IFERROR(__xludf.DUMMYFUNCTION("""COMPUTED_VALUE"""),"Adalberto Cardoso")</f>
        <v>Adalberto Cardoso</v>
      </c>
      <c r="C493" s="24" t="str">
        <f>IFERROR(__xludf.DUMMYFUNCTION("""COMPUTED_VALUE"""),"Rio de Janeiro, RJ")</f>
        <v>Rio de Janeiro, RJ</v>
      </c>
      <c r="D493" s="24" t="str">
        <f>IFERROR(__xludf.DUMMYFUNCTION("""COMPUTED_VALUE"""),"EdUERJ")</f>
        <v>EdUERJ</v>
      </c>
      <c r="E493" s="25">
        <f>IFERROR(__xludf.DUMMYFUNCTION("""COMPUTED_VALUE"""),2016.0)</f>
        <v>2016</v>
      </c>
      <c r="F493" s="24" t="str">
        <f>IFERROR(__xludf.DUMMYFUNCTION("""COMPUTED_VALUE"""),"Sociologia do trabalho – Brasil")</f>
        <v>Sociologia do trabalho – Brasil</v>
      </c>
      <c r="G493" s="28" t="str">
        <f>IFERROR(__xludf.DUMMYFUNCTION("""COMPUTED_VALUE"""),"9788575114308")</f>
        <v>9788575114308</v>
      </c>
      <c r="H493" s="29" t="str">
        <f>IFERROR(__xludf.DUMMYFUNCTION("""COMPUTED_VALUE"""),"https://static.scielo.org/scielobooks/tskp8/pdf/cardoso-9788575114551.pdf")</f>
        <v>https://static.scielo.org/scielobooks/tskp8/pdf/cardoso-9788575114551.pdf</v>
      </c>
      <c r="I493" s="24" t="str">
        <f>IFERROR(__xludf.DUMMYFUNCTION("""COMPUTED_VALUE"""),"Ciências Sociais Aplicadas")</f>
        <v>Ciências Sociais Aplicadas</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location="038;masterkey=5db32424321f5"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location="038;masterkey=5ed6d06765d14" ref="H83"/>
    <hyperlink r:id="rId83" location="038;masterkey=5f011f8d02a10" ref="H84"/>
    <hyperlink r:id="rId84" ref="H85"/>
    <hyperlink r:id="rId85" ref="H86"/>
    <hyperlink r:id="rId86" location="038;masterkey=5ec885278105a" ref="H87"/>
    <hyperlink r:id="rId87" ref="H88"/>
    <hyperlink r:id="rId88" ref="H89"/>
    <hyperlink r:id="rId89" ref="H90"/>
    <hyperlink r:id="rId90" ref="H91"/>
    <hyperlink r:id="rId91" ref="H92"/>
    <hyperlink r:id="rId92" ref="H93"/>
    <hyperlink r:id="rId93" ref="H94"/>
    <hyperlink r:id="rId94" ref="H95"/>
    <hyperlink r:id="rId95" location="038;masterkey=5f5a93b8ea2c4" ref="H96"/>
    <hyperlink r:id="rId96" ref="H97"/>
    <hyperlink r:id="rId97" ref="H98"/>
    <hyperlink r:id="rId98" ref="H99"/>
    <hyperlink r:id="rId9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ref="H131"/>
    <hyperlink r:id="rId131" ref="H132"/>
    <hyperlink r:id="rId132" ref="H133"/>
    <hyperlink r:id="rId133" ref="H134"/>
    <hyperlink r:id="rId134" ref="H135"/>
    <hyperlink r:id="rId135" location="038;masterkey=5eb4231044a6d" ref="H136"/>
    <hyperlink r:id="rId136" ref="H137"/>
    <hyperlink r:id="rId137" ref="H138"/>
    <hyperlink r:id="rId138" ref="H139"/>
    <hyperlink r:id="rId139" ref="H140"/>
    <hyperlink r:id="rId140" ref="H141"/>
    <hyperlink r:id="rId141" ref="H142"/>
    <hyperlink r:id="rId142" ref="H143"/>
    <hyperlink r:id="rId143" ref="H144"/>
    <hyperlink r:id="rId144" ref="H145"/>
    <hyperlink r:id="rId145" ref="H146"/>
    <hyperlink r:id="rId146" ref="H147"/>
    <hyperlink r:id="rId147" ref="H148"/>
    <hyperlink r:id="rId148" ref="H149"/>
    <hyperlink r:id="rId149" ref="H150"/>
    <hyperlink r:id="rId150" ref="H151"/>
    <hyperlink r:id="rId151" ref="H152"/>
    <hyperlink r:id="rId152" ref="H153"/>
    <hyperlink r:id="rId153" ref="H154"/>
    <hyperlink r:id="rId154" ref="H155"/>
    <hyperlink r:id="rId155" ref="H156"/>
    <hyperlink r:id="rId156" ref="H157"/>
    <hyperlink r:id="rId157" ref="H158"/>
    <hyperlink r:id="rId158" ref="H159"/>
    <hyperlink r:id="rId159" ref="H160"/>
    <hyperlink r:id="rId160" ref="H161"/>
    <hyperlink r:id="rId161" ref="H162"/>
    <hyperlink r:id="rId162" ref="H163"/>
    <hyperlink r:id="rId163" ref="H164"/>
    <hyperlink r:id="rId164" ref="H165"/>
    <hyperlink r:id="rId165" ref="H166"/>
    <hyperlink r:id="rId166" ref="H167"/>
    <hyperlink r:id="rId167" location="038;masterkey=5ec425bd261a1" ref="H168"/>
    <hyperlink r:id="rId168" ref="H169"/>
    <hyperlink r:id="rId169" ref="H170"/>
    <hyperlink r:id="rId170" ref="H171"/>
    <hyperlink r:id="rId171" ref="H172"/>
    <hyperlink r:id="rId172" ref="H173"/>
    <hyperlink r:id="rId173" ref="H174"/>
    <hyperlink r:id="rId174" ref="H175"/>
    <hyperlink r:id="rId175" ref="H176"/>
    <hyperlink r:id="rId176" ref="H177"/>
    <hyperlink r:id="rId177" ref="H178"/>
    <hyperlink r:id="rId178" ref="H179"/>
    <hyperlink r:id="rId179" ref="H180"/>
    <hyperlink r:id="rId180" ref="H181"/>
    <hyperlink r:id="rId181" ref="H182"/>
    <hyperlink r:id="rId182" ref="H183"/>
    <hyperlink r:id="rId183" ref="H184"/>
    <hyperlink r:id="rId184" ref="H185"/>
    <hyperlink r:id="rId185" ref="H186"/>
    <hyperlink r:id="rId186" ref="H187"/>
    <hyperlink r:id="rId187" ref="H188"/>
    <hyperlink r:id="rId188" ref="H189"/>
    <hyperlink r:id="rId189" ref="H190"/>
    <hyperlink r:id="rId190" ref="H191"/>
    <hyperlink r:id="rId191" ref="H192"/>
    <hyperlink r:id="rId192" ref="H193"/>
    <hyperlink r:id="rId193" ref="H194"/>
    <hyperlink r:id="rId194" ref="H195"/>
    <hyperlink r:id="rId195" ref="H196"/>
    <hyperlink r:id="rId196" ref="H197"/>
    <hyperlink r:id="rId197" ref="H198"/>
    <hyperlink r:id="rId198" ref="H199"/>
    <hyperlink r:id="rId199" ref="H200"/>
    <hyperlink r:id="rId200" ref="H201"/>
    <hyperlink r:id="rId201" ref="H202"/>
    <hyperlink r:id="rId202" ref="H203"/>
    <hyperlink r:id="rId203" ref="H204"/>
    <hyperlink r:id="rId204" ref="H205"/>
    <hyperlink r:id="rId205" ref="H206"/>
    <hyperlink r:id="rId206" ref="H207"/>
    <hyperlink r:id="rId207" ref="H208"/>
    <hyperlink r:id="rId208" location="038;masterkey=5d557751e01d1" ref="H209"/>
    <hyperlink r:id="rId209" ref="H210"/>
    <hyperlink r:id="rId210" ref="H211"/>
    <hyperlink r:id="rId211" ref="H212"/>
    <hyperlink r:id="rId212" ref="H213"/>
    <hyperlink r:id="rId213" ref="H214"/>
    <hyperlink r:id="rId214" ref="H215"/>
    <hyperlink r:id="rId215" ref="H216"/>
    <hyperlink r:id="rId216" ref="H217"/>
    <hyperlink r:id="rId217" ref="H218"/>
    <hyperlink r:id="rId218" ref="H219"/>
    <hyperlink r:id="rId219" ref="H220"/>
    <hyperlink r:id="rId220" ref="H221"/>
    <hyperlink r:id="rId221" ref="H222"/>
    <hyperlink r:id="rId222" ref="H223"/>
    <hyperlink r:id="rId223" ref="H224"/>
    <hyperlink r:id="rId224" ref="H225"/>
    <hyperlink r:id="rId225" ref="H226"/>
    <hyperlink r:id="rId226" ref="H227"/>
    <hyperlink r:id="rId227" ref="H228"/>
    <hyperlink r:id="rId228" ref="H229"/>
    <hyperlink r:id="rId229" ref="H230"/>
    <hyperlink r:id="rId230" ref="H231"/>
    <hyperlink r:id="rId231" ref="H232"/>
    <hyperlink r:id="rId232" location="038;masterkey=5ef1014c9897b" ref="H233"/>
    <hyperlink r:id="rId233" ref="H234"/>
    <hyperlink r:id="rId234" ref="H235"/>
    <hyperlink r:id="rId235" ref="H236"/>
    <hyperlink r:id="rId236" ref="H237"/>
    <hyperlink r:id="rId237" ref="H238"/>
    <hyperlink r:id="rId238" ref="H239"/>
    <hyperlink r:id="rId239" ref="H240"/>
    <hyperlink r:id="rId240" ref="H241"/>
    <hyperlink r:id="rId241" ref="H242"/>
    <hyperlink r:id="rId242" ref="H243"/>
    <hyperlink r:id="rId243" ref="H244"/>
    <hyperlink r:id="rId244" ref="H245"/>
    <hyperlink r:id="rId245" location="038;masterkey=5ec88579cf25f" ref="H246"/>
    <hyperlink r:id="rId246" ref="H247"/>
    <hyperlink r:id="rId247" ref="H248"/>
    <hyperlink r:id="rId248" ref="H249"/>
    <hyperlink r:id="rId249" ref="H250"/>
    <hyperlink r:id="rId250" ref="H251"/>
    <hyperlink r:id="rId251" ref="H252"/>
    <hyperlink r:id="rId252" ref="H253"/>
    <hyperlink r:id="rId253" ref="H254"/>
    <hyperlink r:id="rId254" ref="H255"/>
    <hyperlink r:id="rId255" ref="H256"/>
    <hyperlink r:id="rId256" ref="H257"/>
    <hyperlink r:id="rId257" ref="H258"/>
    <hyperlink r:id="rId258" ref="H259"/>
    <hyperlink r:id="rId259" ref="H260"/>
    <hyperlink r:id="rId260" ref="H261"/>
    <hyperlink r:id="rId261" ref="H262"/>
    <hyperlink r:id="rId262" ref="H263"/>
    <hyperlink r:id="rId263" ref="H264"/>
    <hyperlink r:id="rId264" ref="H265"/>
    <hyperlink r:id="rId265" ref="H266"/>
    <hyperlink r:id="rId266" ref="H267"/>
    <hyperlink r:id="rId267" ref="H268"/>
    <hyperlink r:id="rId268" ref="H269"/>
    <hyperlink r:id="rId269" ref="H270"/>
    <hyperlink r:id="rId270" ref="H271"/>
    <hyperlink r:id="rId271" location="038;masterkey=5e70efebd3466" ref="H272"/>
    <hyperlink r:id="rId272" location="038;masterkey=5ea82c3247004" ref="H273"/>
    <hyperlink r:id="rId273" ref="H274"/>
    <hyperlink r:id="rId274" ref="H275"/>
    <hyperlink r:id="rId275" ref="H276"/>
    <hyperlink r:id="rId276" ref="H277"/>
    <hyperlink r:id="rId277" ref="H278"/>
    <hyperlink r:id="rId278" ref="H279"/>
    <hyperlink r:id="rId279" ref="H280"/>
    <hyperlink r:id="rId280" ref="H281"/>
    <hyperlink r:id="rId281" ref="H282"/>
    <hyperlink r:id="rId282" ref="H283"/>
    <hyperlink r:id="rId283" ref="H284"/>
    <hyperlink r:id="rId284" ref="H285"/>
    <hyperlink r:id="rId285" ref="H286"/>
    <hyperlink r:id="rId286" ref="H287"/>
    <hyperlink r:id="rId287" ref="H288"/>
    <hyperlink r:id="rId288" ref="H289"/>
    <hyperlink r:id="rId289" ref="H290"/>
    <hyperlink r:id="rId290" ref="H291"/>
    <hyperlink r:id="rId291" ref="H292"/>
    <hyperlink r:id="rId292" ref="H293"/>
    <hyperlink r:id="rId293" ref="H294"/>
    <hyperlink r:id="rId294" ref="H295"/>
    <hyperlink r:id="rId295" ref="H296"/>
    <hyperlink r:id="rId296" ref="H297"/>
    <hyperlink r:id="rId297" ref="H298"/>
    <hyperlink r:id="rId298" ref="H299"/>
    <hyperlink r:id="rId299" ref="H300"/>
    <hyperlink r:id="rId300" ref="H301"/>
    <hyperlink r:id="rId301" location="038;masterkey=5eb42209ea5ef" ref="H302"/>
    <hyperlink r:id="rId302" ref="H303"/>
    <hyperlink r:id="rId303" ref="H304"/>
    <hyperlink r:id="rId304" ref="H305"/>
    <hyperlink r:id="rId305" ref="H306"/>
    <hyperlink r:id="rId306" ref="H307"/>
    <hyperlink r:id="rId307" ref="H308"/>
    <hyperlink r:id="rId308" ref="H309"/>
    <hyperlink r:id="rId309" ref="H310"/>
    <hyperlink r:id="rId310" ref="H311"/>
    <hyperlink r:id="rId311" ref="H312"/>
    <hyperlink r:id="rId312" ref="H313"/>
    <hyperlink r:id="rId313" ref="H314"/>
    <hyperlink r:id="rId314" ref="H315"/>
    <hyperlink r:id="rId315" ref="H316"/>
    <hyperlink r:id="rId316" ref="H317"/>
    <hyperlink r:id="rId317" ref="H318"/>
    <hyperlink r:id="rId318" ref="H319"/>
    <hyperlink r:id="rId319" ref="H320"/>
    <hyperlink r:id="rId320" ref="H321"/>
    <hyperlink r:id="rId321" ref="H322"/>
    <hyperlink r:id="rId322" ref="H323"/>
    <hyperlink r:id="rId323" ref="H324"/>
    <hyperlink r:id="rId324" ref="H325"/>
    <hyperlink r:id="rId325" ref="H326"/>
    <hyperlink r:id="rId326" ref="H327"/>
    <hyperlink r:id="rId327" ref="H328"/>
    <hyperlink r:id="rId328" location="038;masterkey=5f11e709e78ca" ref="H329"/>
    <hyperlink r:id="rId329" location="038;masterkey=5f12562cceed2" ref="H330"/>
    <hyperlink r:id="rId330" ref="H331"/>
    <hyperlink r:id="rId331" ref="H332"/>
    <hyperlink r:id="rId332" ref="H333"/>
    <hyperlink r:id="rId333" ref="H334"/>
    <hyperlink r:id="rId334" ref="H335"/>
    <hyperlink r:id="rId335" ref="H336"/>
    <hyperlink r:id="rId336" ref="H337"/>
    <hyperlink r:id="rId337" ref="H338"/>
    <hyperlink r:id="rId338" ref="H339"/>
    <hyperlink r:id="rId339" ref="H340"/>
    <hyperlink r:id="rId340" ref="H341"/>
    <hyperlink r:id="rId341" ref="H342"/>
    <hyperlink r:id="rId342" ref="H343"/>
    <hyperlink r:id="rId343" ref="H344"/>
    <hyperlink r:id="rId344" ref="H345"/>
    <hyperlink r:id="rId345" ref="H346"/>
    <hyperlink r:id="rId346" ref="H347"/>
    <hyperlink r:id="rId347" ref="H348"/>
    <hyperlink r:id="rId348" ref="H349"/>
    <hyperlink r:id="rId349" ref="H350"/>
    <hyperlink r:id="rId350" ref="H351"/>
    <hyperlink r:id="rId351" ref="H352"/>
    <hyperlink r:id="rId352" ref="H353"/>
    <hyperlink r:id="rId353" ref="H354"/>
    <hyperlink r:id="rId354" ref="H355"/>
    <hyperlink r:id="rId355" ref="H356"/>
    <hyperlink r:id="rId356" ref="H357"/>
    <hyperlink r:id="rId357" ref="H358"/>
    <hyperlink r:id="rId358" ref="H359"/>
    <hyperlink r:id="rId359" ref="H360"/>
    <hyperlink r:id="rId360" ref="H361"/>
    <hyperlink r:id="rId361" ref="H362"/>
    <hyperlink r:id="rId362" ref="H363"/>
    <hyperlink r:id="rId363" ref="H364"/>
    <hyperlink r:id="rId364" ref="H365"/>
    <hyperlink r:id="rId365" ref="H366"/>
    <hyperlink r:id="rId366" ref="H367"/>
    <hyperlink r:id="rId367" ref="H368"/>
    <hyperlink r:id="rId368" ref="H369"/>
    <hyperlink r:id="rId369" ref="H370"/>
    <hyperlink r:id="rId370" ref="H371"/>
    <hyperlink r:id="rId371" ref="H372"/>
    <hyperlink r:id="rId372" ref="H373"/>
    <hyperlink r:id="rId373" ref="H374"/>
    <hyperlink r:id="rId374" ref="H375"/>
    <hyperlink r:id="rId375" ref="H376"/>
    <hyperlink r:id="rId376" ref="H377"/>
    <hyperlink r:id="rId377" ref="H378"/>
    <hyperlink r:id="rId378" ref="H379"/>
    <hyperlink r:id="rId379" ref="H380"/>
    <hyperlink r:id="rId380" ref="H381"/>
    <hyperlink r:id="rId381" ref="H382"/>
    <hyperlink r:id="rId382" ref="H383"/>
    <hyperlink r:id="rId383" ref="H384"/>
    <hyperlink r:id="rId384" ref="H385"/>
    <hyperlink r:id="rId385" ref="H386"/>
    <hyperlink r:id="rId386" ref="H387"/>
    <hyperlink r:id="rId387" ref="H388"/>
    <hyperlink r:id="rId388" ref="H389"/>
    <hyperlink r:id="rId389" ref="H390"/>
    <hyperlink r:id="rId390" ref="H391"/>
    <hyperlink r:id="rId391" ref="H392"/>
    <hyperlink r:id="rId392" ref="H393"/>
    <hyperlink r:id="rId393" ref="H394"/>
    <hyperlink r:id="rId394" ref="H395"/>
    <hyperlink r:id="rId395" ref="H396"/>
    <hyperlink r:id="rId396" ref="H397"/>
    <hyperlink r:id="rId397" ref="H398"/>
    <hyperlink r:id="rId398" ref="H399"/>
    <hyperlink r:id="rId399" ref="H400"/>
    <hyperlink r:id="rId400" ref="H401"/>
    <hyperlink r:id="rId401" ref="H402"/>
    <hyperlink r:id="rId402" ref="H403"/>
    <hyperlink r:id="rId403" ref="H404"/>
    <hyperlink r:id="rId404" ref="H405"/>
    <hyperlink r:id="rId405" ref="H406"/>
    <hyperlink r:id="rId406" ref="H407"/>
    <hyperlink r:id="rId407" ref="H408"/>
    <hyperlink r:id="rId408" ref="H409"/>
    <hyperlink r:id="rId409" ref="H410"/>
    <hyperlink r:id="rId410" ref="H411"/>
    <hyperlink r:id="rId411" ref="H412"/>
    <hyperlink r:id="rId412" ref="H413"/>
    <hyperlink r:id="rId413" ref="H414"/>
    <hyperlink r:id="rId414" location="038;masterkey=5dc95e188a0fe" ref="H415"/>
    <hyperlink r:id="rId415" ref="H416"/>
    <hyperlink r:id="rId416" ref="H417"/>
    <hyperlink r:id="rId417" ref="H418"/>
    <hyperlink r:id="rId418" ref="H419"/>
    <hyperlink r:id="rId419" ref="H420"/>
    <hyperlink r:id="rId420" ref="H421"/>
    <hyperlink r:id="rId421" ref="H422"/>
    <hyperlink r:id="rId422" ref="H423"/>
    <hyperlink r:id="rId423" ref="H424"/>
    <hyperlink r:id="rId424" ref="H425"/>
    <hyperlink r:id="rId425" ref="H426"/>
    <hyperlink r:id="rId426" ref="H427"/>
    <hyperlink r:id="rId427" ref="H428"/>
    <hyperlink r:id="rId428" ref="H429"/>
    <hyperlink r:id="rId429" ref="H430"/>
    <hyperlink r:id="rId430" ref="H431"/>
    <hyperlink r:id="rId431" ref="H432"/>
    <hyperlink r:id="rId432" ref="H433"/>
    <hyperlink r:id="rId433" ref="H434"/>
    <hyperlink r:id="rId434" ref="H435"/>
    <hyperlink r:id="rId435" ref="H436"/>
    <hyperlink r:id="rId436" ref="H437"/>
    <hyperlink r:id="rId437" ref="H438"/>
    <hyperlink r:id="rId438" ref="H439"/>
    <hyperlink r:id="rId439" ref="H440"/>
    <hyperlink r:id="rId440" ref="H441"/>
    <hyperlink r:id="rId441" ref="H442"/>
    <hyperlink r:id="rId442" ref="H443"/>
    <hyperlink r:id="rId443" ref="H444"/>
    <hyperlink r:id="rId444" ref="H445"/>
    <hyperlink r:id="rId445" ref="H446"/>
    <hyperlink r:id="rId446" ref="H447"/>
    <hyperlink r:id="rId447" location="038;masterkey=5f5a931b35e2a" ref="H448"/>
    <hyperlink r:id="rId448" ref="H449"/>
    <hyperlink r:id="rId449" ref="H450"/>
    <hyperlink r:id="rId450" ref="H451"/>
    <hyperlink r:id="rId451" ref="H452"/>
    <hyperlink r:id="rId452" ref="H453"/>
    <hyperlink r:id="rId453" ref="H454"/>
    <hyperlink r:id="rId454" ref="H455"/>
    <hyperlink r:id="rId455" ref="H456"/>
    <hyperlink r:id="rId456" ref="H457"/>
    <hyperlink r:id="rId457" ref="H458"/>
    <hyperlink r:id="rId458" ref="H459"/>
    <hyperlink r:id="rId459" ref="H460"/>
    <hyperlink r:id="rId460" ref="H461"/>
    <hyperlink r:id="rId461" ref="H462"/>
    <hyperlink r:id="rId462" ref="H463"/>
    <hyperlink r:id="rId463" ref="H464"/>
    <hyperlink r:id="rId464" ref="H465"/>
    <hyperlink r:id="rId465" ref="H466"/>
    <hyperlink r:id="rId466" ref="H467"/>
    <hyperlink r:id="rId467" ref="H468"/>
    <hyperlink r:id="rId468" ref="H469"/>
    <hyperlink r:id="rId469" ref="H470"/>
    <hyperlink r:id="rId470" ref="H471"/>
    <hyperlink r:id="rId471" ref="H472"/>
    <hyperlink r:id="rId472" ref="H473"/>
    <hyperlink r:id="rId473" ref="H474"/>
    <hyperlink r:id="rId474" ref="H475"/>
    <hyperlink r:id="rId475" ref="H476"/>
    <hyperlink r:id="rId476" ref="H477"/>
    <hyperlink r:id="rId477" ref="H478"/>
    <hyperlink r:id="rId478" ref="H479"/>
    <hyperlink r:id="rId479" ref="H480"/>
    <hyperlink r:id="rId480" ref="H481"/>
    <hyperlink r:id="rId481" ref="H482"/>
    <hyperlink r:id="rId482" ref="H483"/>
    <hyperlink r:id="rId483" ref="H484"/>
    <hyperlink r:id="rId484" ref="H485"/>
    <hyperlink r:id="rId485" ref="H486"/>
    <hyperlink r:id="rId486" ref="H487"/>
    <hyperlink r:id="rId487" ref="H488"/>
    <hyperlink r:id="rId488" ref="H489"/>
    <hyperlink r:id="rId489" ref="H490"/>
    <hyperlink r:id="rId490" ref="H491"/>
    <hyperlink r:id="rId491" ref="H492"/>
    <hyperlink r:id="rId492" ref="H493"/>
  </hyperlinks>
  <drawing r:id="rId493"/>
  <tableParts count="1">
    <tablePart r:id="rId495"/>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6.29"/>
    <col customWidth="1" min="2" max="2" width="31.43"/>
    <col customWidth="1" min="3" max="3" width="13.86"/>
    <col customWidth="1" min="4" max="4" width="12.43"/>
    <col customWidth="1" min="5" max="5" width="7.57"/>
    <col customWidth="1" min="6" max="6" width="32.43"/>
    <col customWidth="1" min="7" max="7" width="14.71"/>
    <col customWidth="1" min="8" max="8" width="28.14"/>
    <col customWidth="1" hidden="1" min="9" max="9" width="24.0"/>
  </cols>
  <sheetData>
    <row r="1">
      <c r="A1" s="19" t="s">
        <v>23</v>
      </c>
      <c r="B1" s="20" t="s">
        <v>24</v>
      </c>
      <c r="C1" s="20" t="s">
        <v>25</v>
      </c>
      <c r="D1" s="20" t="s">
        <v>26</v>
      </c>
      <c r="E1" s="21" t="s">
        <v>27</v>
      </c>
      <c r="F1" s="20" t="s">
        <v>28</v>
      </c>
      <c r="G1" s="20" t="s">
        <v>29</v>
      </c>
      <c r="H1" s="23" t="s">
        <v>30</v>
      </c>
      <c r="I1" s="20" t="s">
        <v>31</v>
      </c>
    </row>
    <row r="2">
      <c r="A2" s="24" t="str">
        <f>IFERROR(__xludf.DUMMYFUNCTION("IMPORTRANGE(""https://docs.google.com/spreadsheets/d/13YtZlkEQw4W38VCdbK3PbAk4uf6r7LAkUEaRwo0J7Jo/edit#gid=291977917"",""PlanilhaUnificada!B1836:J1875"")"),"Arquitetura e urbanismo: caderno de resumos")</f>
        <v>Arquitetura e urbanismo: caderno de resumos</v>
      </c>
      <c r="B2" s="24" t="str">
        <f>IFERROR(__xludf.DUMMYFUNCTION("""COMPUTED_VALUE"""),"Karina Tissiani e Maruan Coltro Gosch")</f>
        <v>Karina Tissiani e Maruan Coltro Gosch</v>
      </c>
      <c r="C2" s="24" t="str">
        <f>IFERROR(__xludf.DUMMYFUNCTION("""COMPUTED_VALUE"""),"Xanxere")</f>
        <v>Xanxere</v>
      </c>
      <c r="D2" s="24" t="str">
        <f>IFERROR(__xludf.DUMMYFUNCTION("""COMPUTED_VALUE"""),"Unoesc")</f>
        <v>Unoesc</v>
      </c>
      <c r="E2" s="25">
        <f>IFERROR(__xludf.DUMMYFUNCTION("""COMPUTED_VALUE"""),2017.0)</f>
        <v>2017</v>
      </c>
      <c r="F2" s="24" t="str">
        <f>IFERROR(__xludf.DUMMYFUNCTION("""COMPUTED_VALUE"""),"Arquitetura e urbanismo, Projetos arquitetonicos")</f>
        <v>Arquitetura e urbanismo, Projetos arquitetonicos</v>
      </c>
      <c r="G2" s="28" t="str">
        <f>IFERROR(__xludf.DUMMYFUNCTION("""COMPUTED_VALUE"""),"9788584221325")</f>
        <v>9788584221325</v>
      </c>
      <c r="H2" s="27" t="str">
        <f>IFERROR(__xludf.DUMMYFUNCTION("""COMPUTED_VALUE"""),"https://www.unoesc.edu.br/images/uploads/editora/arquitetura_e_urbanismo.pdf")</f>
        <v>https://www.unoesc.edu.br/images/uploads/editora/arquitetura_e_urbanismo.pdf</v>
      </c>
      <c r="I2" s="24" t="str">
        <f>IFERROR(__xludf.DUMMYFUNCTION("""COMPUTED_VALUE"""),"Engenharias")</f>
        <v>Engenharias</v>
      </c>
    </row>
    <row r="3">
      <c r="A3" s="24" t="str">
        <f>IFERROR(__xludf.DUMMYFUNCTION("""COMPUTED_VALUE"""),"Cartilha produção de tijolos de solo-cimento")</f>
        <v>Cartilha produção de tijolos de solo-cimento</v>
      </c>
      <c r="B3" s="24"/>
      <c r="C3" s="24" t="str">
        <f>IFERROR(__xludf.DUMMYFUNCTION("""COMPUTED_VALUE"""),"Piracicaba, SP")</f>
        <v>Piracicaba, SP</v>
      </c>
      <c r="D3" s="24" t="str">
        <f>IFERROR(__xludf.DUMMYFUNCTION("""COMPUTED_VALUE"""),"UNIMEP")</f>
        <v>UNIMEP</v>
      </c>
      <c r="E3" s="25">
        <f>IFERROR(__xludf.DUMMYFUNCTION("""COMPUTED_VALUE"""),2016.0)</f>
        <v>2016</v>
      </c>
      <c r="F3" s="24" t="str">
        <f>IFERROR(__xludf.DUMMYFUNCTION("""COMPUTED_VALUE"""),"Construção. Cimento. Tijolos de solo-cimento")</f>
        <v>Construção. Cimento. Tijolos de solo-cimento</v>
      </c>
      <c r="G3" s="26"/>
      <c r="H3" s="27" t="str">
        <f>IFERROR(__xludf.DUMMYFUNCTION("""COMPUTED_VALUE"""),"http://editora.metodista.br/livros-gratis/Cartilha%20Solo%20Cimento.pdf/at_download/file")</f>
        <v>http://editora.metodista.br/livros-gratis/Cartilha%20Solo%20Cimento.pdf/at_download/file</v>
      </c>
      <c r="I3" s="24" t="str">
        <f>IFERROR(__xludf.DUMMYFUNCTION("""COMPUTED_VALUE"""),"Engenharias")</f>
        <v>Engenharias</v>
      </c>
    </row>
    <row r="4">
      <c r="A4" s="24" t="str">
        <f>IFERROR(__xludf.DUMMYFUNCTION("""COMPUTED_VALUE"""),"Comunidades urbanas energeticamente eficientes")</f>
        <v>Comunidades urbanas energeticamente eficientes</v>
      </c>
      <c r="B4" s="24" t="str">
        <f>IFERROR(__xludf.DUMMYFUNCTION("""COMPUTED_VALUE"""),"orgs. Cristina Engel de Alvarez, Luís Bragança")</f>
        <v>orgs. Cristina Engel de Alvarez, Luís Bragança</v>
      </c>
      <c r="C4" s="24" t="str">
        <f>IFERROR(__xludf.DUMMYFUNCTION("""COMPUTED_VALUE"""),"Vitória")</f>
        <v>Vitória</v>
      </c>
      <c r="D4" s="24" t="str">
        <f>IFERROR(__xludf.DUMMYFUNCTION("""COMPUTED_VALUE"""),"EDUFES")</f>
        <v>EDUFES</v>
      </c>
      <c r="E4" s="25">
        <f>IFERROR(__xludf.DUMMYFUNCTION("""COMPUTED_VALUE"""),2016.0)</f>
        <v>2016</v>
      </c>
      <c r="F4" s="24" t="str">
        <f>IFERROR(__xludf.DUMMYFUNCTION("""COMPUTED_VALUE"""),"Recursos energéticos; Sustentabilidade; Eficiência energética")</f>
        <v>Recursos energéticos; Sustentabilidade; Eficiência energética</v>
      </c>
      <c r="G4" s="28" t="str">
        <f>IFERROR(__xludf.DUMMYFUNCTION("""COMPUTED_VALUE"""),"9788577723485")</f>
        <v>9788577723485</v>
      </c>
      <c r="H4" s="27" t="str">
        <f>IFERROR(__xludf.DUMMYFUNCTION("""COMPUTED_VALUE"""),"http://repositorio.ufes.br/bitstream/10/6802/1/Versao%20digital_comunidades%20urbanas%20energeticamente%20eficientes.pdf")</f>
        <v>http://repositorio.ufes.br/bitstream/10/6802/1/Versao%20digital_comunidades%20urbanas%20energeticamente%20eficientes.pdf</v>
      </c>
      <c r="I4" s="24" t="str">
        <f>IFERROR(__xludf.DUMMYFUNCTION("""COMPUTED_VALUE"""),"Engenharias")</f>
        <v>Engenharias</v>
      </c>
    </row>
    <row r="5">
      <c r="A5" s="24" t="str">
        <f>IFERROR(__xludf.DUMMYFUNCTION("""COMPUTED_VALUE"""),"Corrosão de armaduras em estruturas de concreto: Fundamentos, Diagnóstico e Prevenção")</f>
        <v>Corrosão de armaduras em estruturas de concreto: Fundamentos, Diagnóstico e Prevenção</v>
      </c>
      <c r="B5" s="24" t="str">
        <f>IFERROR(__xludf.DUMMYFUNCTION("""COMPUTED_VALUE"""),"Gibson Rocha Meira")</f>
        <v>Gibson Rocha Meira</v>
      </c>
      <c r="C5" s="24" t="str">
        <f>IFERROR(__xludf.DUMMYFUNCTION("""COMPUTED_VALUE"""),"João Pessoa")</f>
        <v>João Pessoa</v>
      </c>
      <c r="D5" s="24" t="str">
        <f>IFERROR(__xludf.DUMMYFUNCTION("""COMPUTED_VALUE"""),"Editora IFPB")</f>
        <v>Editora IFPB</v>
      </c>
      <c r="E5" s="25">
        <f>IFERROR(__xludf.DUMMYFUNCTION("""COMPUTED_VALUE"""),2017.0)</f>
        <v>2017</v>
      </c>
      <c r="F5" s="24" t="str">
        <f>IFERROR(__xludf.DUMMYFUNCTION("""COMPUTED_VALUE"""),"Corrosão; Corrosão de armaduras; estruturas de concreto")</f>
        <v>Corrosão; Corrosão de armaduras; estruturas de concreto</v>
      </c>
      <c r="G5" s="28" t="str">
        <f>IFERROR(__xludf.DUMMYFUNCTION("""COMPUTED_VALUE"""),"9788563406620")</f>
        <v>9788563406620</v>
      </c>
      <c r="H5" s="27" t="str">
        <f>IFERROR(__xludf.DUMMYFUNCTION("""COMPUTED_VALUE"""),"http://editora.ifpb.edu.br/index.php/ifpb/catalog/book/81")</f>
        <v>http://editora.ifpb.edu.br/index.php/ifpb/catalog/book/81</v>
      </c>
      <c r="I5" s="24" t="str">
        <f>IFERROR(__xludf.DUMMYFUNCTION("""COMPUTED_VALUE"""),"Engenharias")</f>
        <v>Engenharias</v>
      </c>
    </row>
    <row r="6">
      <c r="A6" s="24" t="str">
        <f>IFERROR(__xludf.DUMMYFUNCTION("""COMPUTED_VALUE"""),"Educação ambiental na gestão de resíduos sólidos")</f>
        <v>Educação ambiental na gestão de resíduos sólidos</v>
      </c>
      <c r="B6" s="24" t="str">
        <f>IFERROR(__xludf.DUMMYFUNCTION("""COMPUTED_VALUE"""),"Soraya Giovanetti El-Deir, Wagner José de Aguiar e Sara Maria Gomes Pinheiro")</f>
        <v>Soraya Giovanetti El-Deir, Wagner José de Aguiar e Sara Maria Gomes Pinheiro</v>
      </c>
      <c r="C6" s="24" t="str">
        <f>IFERROR(__xludf.DUMMYFUNCTION("""COMPUTED_VALUE"""),"Recife")</f>
        <v>Recife</v>
      </c>
      <c r="D6" s="24" t="str">
        <f>IFERROR(__xludf.DUMMYFUNCTION("""COMPUTED_VALUE"""),"Editora Universitária da UFRPE")</f>
        <v>Editora Universitária da UFRPE</v>
      </c>
      <c r="E6" s="25">
        <f>IFERROR(__xludf.DUMMYFUNCTION("""COMPUTED_VALUE"""),2016.0)</f>
        <v>2016</v>
      </c>
      <c r="F6" s="24" t="str">
        <f>IFERROR(__xludf.DUMMYFUNCTION("""COMPUTED_VALUE"""),"Percepção ambiental; Práticas educativas; Resíduos sólidos")</f>
        <v>Percepção ambiental; Práticas educativas; Resíduos sólidos</v>
      </c>
      <c r="G6" s="28" t="str">
        <f>IFERROR(__xludf.DUMMYFUNCTION("""COMPUTED_VALUE"""),"9788579462337")</f>
        <v>9788579462337</v>
      </c>
      <c r="H6" s="27" t="str">
        <f>IFERROR(__xludf.DUMMYFUNCTION("""COMPUTED_VALUE"""),"https://www.dropbox.com/s/fvox74fo0h22lre/ebook_Educacao_Ambiental_2016.pdf?dl=0")</f>
        <v>https://www.dropbox.com/s/fvox74fo0h22lre/ebook_Educacao_Ambiental_2016.pdf?dl=0</v>
      </c>
      <c r="I6" s="24" t="str">
        <f>IFERROR(__xludf.DUMMYFUNCTION("""COMPUTED_VALUE"""),"Engenharias")</f>
        <v>Engenharias</v>
      </c>
    </row>
    <row r="7">
      <c r="A7" s="24" t="str">
        <f>IFERROR(__xludf.DUMMYFUNCTION("""COMPUTED_VALUE"""),"Eletricidade Básica: Para Cursos Técnicos")</f>
        <v>Eletricidade Básica: Para Cursos Técnicos</v>
      </c>
      <c r="B7" s="24" t="str">
        <f>IFERROR(__xludf.DUMMYFUNCTION("""COMPUTED_VALUE"""),"José Artur Alves Dias, Álvaro de Medeiros Maciel.")</f>
        <v>José Artur Alves Dias, Álvaro de Medeiros Maciel.</v>
      </c>
      <c r="C7" s="24" t="str">
        <f>IFERROR(__xludf.DUMMYFUNCTION("""COMPUTED_VALUE"""),"João Pessoa")</f>
        <v>João Pessoa</v>
      </c>
      <c r="D7" s="24" t="str">
        <f>IFERROR(__xludf.DUMMYFUNCTION("""COMPUTED_VALUE"""),"Editora IFPB")</f>
        <v>Editora IFPB</v>
      </c>
      <c r="E7" s="25">
        <f>IFERROR(__xludf.DUMMYFUNCTION("""COMPUTED_VALUE"""),2019.0)</f>
        <v>2019</v>
      </c>
      <c r="F7" s="24" t="str">
        <f>IFERROR(__xludf.DUMMYFUNCTION("""COMPUTED_VALUE"""),"Engenharia elétrica; Eletricidade básica; Cursos técnicos")</f>
        <v>Engenharia elétrica; Eletricidade básica; Cursos técnicos</v>
      </c>
      <c r="G7" s="28" t="str">
        <f>IFERROR(__xludf.DUMMYFUNCTION("""COMPUTED_VALUE"""),"9788554490195")</f>
        <v>9788554490195</v>
      </c>
      <c r="H7" s="27" t="str">
        <f>IFERROR(__xludf.DUMMYFUNCTION("""COMPUTED_VALUE"""),"http://editora.ifpb.edu.br/index.php/ifpb/catalog/book/111")</f>
        <v>http://editora.ifpb.edu.br/index.php/ifpb/catalog/book/111</v>
      </c>
      <c r="I7" s="24" t="str">
        <f>IFERROR(__xludf.DUMMYFUNCTION("""COMPUTED_VALUE"""),"Engenharias")</f>
        <v>Engenharias</v>
      </c>
    </row>
    <row r="8">
      <c r="A8" s="24" t="str">
        <f>IFERROR(__xludf.DUMMYFUNCTION("""COMPUTED_VALUE"""),"Estações de Tratamento de Esgoto por Zona de Raízes (ETE)")</f>
        <v>Estações de Tratamento de Esgoto por Zona de Raízes (ETE)</v>
      </c>
      <c r="B8" s="24" t="str">
        <f>IFERROR(__xludf.DUMMYFUNCTION("""COMPUTED_VALUE"""),"Jefferson de Queiroz Crispim, Mauro Parolin, Sandra Terezinha Malysz, Tamara Simone Van Kaick")</f>
        <v>Jefferson de Queiroz Crispim, Mauro Parolin, Sandra Terezinha Malysz, Tamara Simone Van Kaick</v>
      </c>
      <c r="C8" s="24" t="str">
        <f>IFERROR(__xludf.DUMMYFUNCTION("""COMPUTED_VALUE"""),"Campo Mourão, PR")</f>
        <v>Campo Mourão, PR</v>
      </c>
      <c r="D8" s="24" t="str">
        <f>IFERROR(__xludf.DUMMYFUNCTION("""COMPUTED_VALUE"""),"Editora Fecilcam")</f>
        <v>Editora Fecilcam</v>
      </c>
      <c r="E8" s="25">
        <f>IFERROR(__xludf.DUMMYFUNCTION("""COMPUTED_VALUE"""),2012.0)</f>
        <v>2012</v>
      </c>
      <c r="F8" s="24" t="str">
        <f>IFERROR(__xludf.DUMMYFUNCTION("""COMPUTED_VALUE"""),"Esgoto. Estação de tratamento. Zona rural")</f>
        <v>Esgoto. Estação de tratamento. Zona rural</v>
      </c>
      <c r="G8" s="28" t="str">
        <f>IFERROR(__xludf.DUMMYFUNCTION("""COMPUTED_VALUE"""),"9788588753211")</f>
        <v>9788588753211</v>
      </c>
      <c r="H8" s="27" t="str">
        <f>IFERROR(__xludf.DUMMYFUNCTION("""COMPUTED_VALUE"""),"http://campomourao.unespar.edu.br/editora/obras-digitais/estacoes-de-tratamento-de-esgoto-por-zona-de-raizes-ete")</f>
        <v>http://campomourao.unespar.edu.br/editora/obras-digitais/estacoes-de-tratamento-de-esgoto-por-zona-de-raizes-ete</v>
      </c>
      <c r="I8" s="24" t="str">
        <f>IFERROR(__xludf.DUMMYFUNCTION("""COMPUTED_VALUE"""),"Engenharias")</f>
        <v>Engenharias</v>
      </c>
    </row>
    <row r="9">
      <c r="A9" s="24" t="str">
        <f>IFERROR(__xludf.DUMMYFUNCTION("""COMPUTED_VALUE"""),"Estações de Tratamento de Esgotos por Zona de Raízes (ETE) e Recuperação de nascentes na Casa Familiar Rural de Iretama – PR")</f>
        <v>Estações de Tratamento de Esgotos por Zona de Raízes (ETE) e Recuperação de nascentes na Casa Familiar Rural de Iretama – PR</v>
      </c>
      <c r="B9" s="24" t="str">
        <f>IFERROR(__xludf.DUMMYFUNCTION("""COMPUTED_VALUE"""),"Jefferson de Queiroz Crispim, Mauro Parolin, Sandra Terezinha Malysz")</f>
        <v>Jefferson de Queiroz Crispim, Mauro Parolin, Sandra Terezinha Malysz</v>
      </c>
      <c r="C9" s="24" t="str">
        <f>IFERROR(__xludf.DUMMYFUNCTION("""COMPUTED_VALUE"""),"Campo Mourão, PR")</f>
        <v>Campo Mourão, PR</v>
      </c>
      <c r="D9" s="24" t="str">
        <f>IFERROR(__xludf.DUMMYFUNCTION("""COMPUTED_VALUE"""),"Editora Fecilcam")</f>
        <v>Editora Fecilcam</v>
      </c>
      <c r="E9" s="25">
        <f>IFERROR(__xludf.DUMMYFUNCTION("""COMPUTED_VALUE"""),2011.0)</f>
        <v>2011</v>
      </c>
      <c r="F9" s="24" t="str">
        <f>IFERROR(__xludf.DUMMYFUNCTION("""COMPUTED_VALUE"""),"Esgoto. Estação de tratamento. Zona rural")</f>
        <v>Esgoto. Estação de tratamento. Zona rural</v>
      </c>
      <c r="G9" s="26"/>
      <c r="H9" s="27" t="str">
        <f>IFERROR(__xludf.DUMMYFUNCTION("""COMPUTED_VALUE"""),"http://campomourao.unespar.edu.br/editora/obras-digitais/estacoes-de-tratamento-de-esgotos-por-zona-de-raizes-ete-e-recuperacao-de-nascentes-na-casa-familiar-rural-de-iretama-2013-pr")</f>
        <v>http://campomourao.unespar.edu.br/editora/obras-digitais/estacoes-de-tratamento-de-esgotos-por-zona-de-raizes-ete-e-recuperacao-de-nascentes-na-casa-familiar-rural-de-iretama-2013-pr</v>
      </c>
      <c r="I9" s="24" t="str">
        <f>IFERROR(__xludf.DUMMYFUNCTION("""COMPUTED_VALUE"""),"Engenharias")</f>
        <v>Engenharias</v>
      </c>
    </row>
    <row r="10">
      <c r="A10" s="24" t="str">
        <f>IFERROR(__xludf.DUMMYFUNCTION("""COMPUTED_VALUE"""),"Estudos e aplicações em sistemas de controle, telecomunicações, acionamentos e sistemas elétricos: Enfoques com Inovações Tecnológicas")</f>
        <v>Estudos e aplicações em sistemas de controle, telecomunicações, acionamentos e sistemas elétricos: Enfoques com Inovações Tecnológicas</v>
      </c>
      <c r="B10" s="24" t="str">
        <f>IFERROR(__xludf.DUMMYFUNCTION("""COMPUTED_VALUE"""),"organizadores Ademar Gonçalves da Costa Júnior, José Bezerra de Menezes Filho ")</f>
        <v>organizadores Ademar Gonçalves da Costa Júnior, José Bezerra de Menezes Filho </v>
      </c>
      <c r="C10" s="24" t="str">
        <f>IFERROR(__xludf.DUMMYFUNCTION("""COMPUTED_VALUE"""),"João Pessoa")</f>
        <v>João Pessoa</v>
      </c>
      <c r="D10" s="24" t="str">
        <f>IFERROR(__xludf.DUMMYFUNCTION("""COMPUTED_VALUE"""),"Editora IFPB")</f>
        <v>Editora IFPB</v>
      </c>
      <c r="E10" s="25">
        <f>IFERROR(__xludf.DUMMYFUNCTION("""COMPUTED_VALUE"""),2016.0)</f>
        <v>2016</v>
      </c>
      <c r="F10" s="24" t="str">
        <f>IFERROR(__xludf.DUMMYFUNCTION("""COMPUTED_VALUE"""),"Engenharia elétrica – Inovações tecnológicas; Sistemas de controle; Telecomunicações; Acionamentos elétricos; Sistemas elétricos")</f>
        <v>Engenharia elétrica – Inovações tecnológicas; Sistemas de controle; Telecomunicações; Acionamentos elétricos; Sistemas elétricos</v>
      </c>
      <c r="G10" s="28" t="str">
        <f>IFERROR(__xludf.DUMMYFUNCTION("""COMPUTED_VALUE"""),"9788563406798")</f>
        <v>9788563406798</v>
      </c>
      <c r="H10" s="27" t="str">
        <f>IFERROR(__xludf.DUMMYFUNCTION("""COMPUTED_VALUE"""),"http://editora.ifpb.edu.br/index.php/ifpb/catalog/book/30")</f>
        <v>http://editora.ifpb.edu.br/index.php/ifpb/catalog/book/30</v>
      </c>
      <c r="I10" s="24" t="str">
        <f>IFERROR(__xludf.DUMMYFUNCTION("""COMPUTED_VALUE"""),"Engenharias")</f>
        <v>Engenharias</v>
      </c>
    </row>
    <row r="11">
      <c r="A11" s="24" t="str">
        <f>IFERROR(__xludf.DUMMYFUNCTION("""COMPUTED_VALUE"""),"Formação e práticas pedagógicas: múltiplos olhares nas Ciências Aeronáuticas")</f>
        <v>Formação e práticas pedagógicas: múltiplos olhares nas Ciências Aeronáuticas</v>
      </c>
      <c r="B11" s="24" t="str">
        <f>IFERROR(__xludf.DUMMYFUNCTION("""COMPUTED_VALUE"""),"Marcos Antônio Barros (org.)")</f>
        <v>Marcos Antônio Barros (org.)</v>
      </c>
      <c r="C11" s="24" t="str">
        <f>IFERROR(__xludf.DUMMYFUNCTION("""COMPUTED_VALUE"""),"Campina Grande")</f>
        <v>Campina Grande</v>
      </c>
      <c r="D11" s="24" t="str">
        <f>IFERROR(__xludf.DUMMYFUNCTION("""COMPUTED_VALUE"""),"EDUEPB")</f>
        <v>EDUEPB</v>
      </c>
      <c r="E11" s="25">
        <f>IFERROR(__xludf.DUMMYFUNCTION("""COMPUTED_VALUE"""),2019.0)</f>
        <v>2019</v>
      </c>
      <c r="F11" s="24" t="str">
        <f>IFERROR(__xludf.DUMMYFUNCTION("""COMPUTED_VALUE"""),"Ciências aeronáuticas - Brasil. Transporte aéreo. Aviação civíl. Engenharia;0. Setor aeronáutico. Ciências aeronáuticas - formação profissional")</f>
        <v>Ciências aeronáuticas - Brasil. Transporte aéreo. Aviação civíl. Engenharia;0. Setor aeronáutico. Ciências aeronáuticas - formação profissional</v>
      </c>
      <c r="G11" s="28" t="str">
        <f>IFERROR(__xludf.DUMMYFUNCTION("""COMPUTED_VALUE"""),"9788578796044")</f>
        <v>9788578796044</v>
      </c>
      <c r="H11" s="27" t="str">
        <f>IFERROR(__xludf.DUMMYFUNCTION("""COMPUTED_VALUE"""),"http://eduepb.uepb.edu.br/download/formacao-e-praticas-pedagogicas-multiplos-olhares-nas-ciencias-aeronauticas/?wpdmdl=890&amp;#038;masterkey=5dd43db6e7dc1")</f>
        <v>http://eduepb.uepb.edu.br/download/formacao-e-praticas-pedagogicas-multiplos-olhares-nas-ciencias-aeronauticas/?wpdmdl=890&amp;#038;masterkey=5dd43db6e7dc1</v>
      </c>
      <c r="I11" s="24" t="str">
        <f>IFERROR(__xludf.DUMMYFUNCTION("""COMPUTED_VALUE"""),"Engenharias")</f>
        <v>Engenharias</v>
      </c>
    </row>
    <row r="12">
      <c r="A12" s="24" t="str">
        <f>IFERROR(__xludf.DUMMYFUNCTION("""COMPUTED_VALUE"""),"Geração Hidroelétrica e Eolioelétrica")</f>
        <v>Geração Hidroelétrica e Eolioelétrica</v>
      </c>
      <c r="B12" s="24" t="str">
        <f>IFERROR(__xludf.DUMMYFUNCTION("""COMPUTED_VALUE"""),"Ailson P. de Moura; Adriano Aron F. de Moura; Ednardo P. da Rocha")</f>
        <v>Ailson P. de Moura; Adriano Aron F. de Moura; Ednardo P. da Rocha</v>
      </c>
      <c r="C12" s="24" t="str">
        <f>IFERROR(__xludf.DUMMYFUNCTION("""COMPUTED_VALUE"""),"Fortaleza, CE")</f>
        <v>Fortaleza, CE</v>
      </c>
      <c r="D12" s="24" t="str">
        <f>IFERROR(__xludf.DUMMYFUNCTION("""COMPUTED_VALUE"""),"Edições UFC")</f>
        <v>Edições UFC</v>
      </c>
      <c r="E12" s="25">
        <f>IFERROR(__xludf.DUMMYFUNCTION("""COMPUTED_VALUE"""),2019.0)</f>
        <v>2019</v>
      </c>
      <c r="F12" s="24" t="str">
        <f>IFERROR(__xludf.DUMMYFUNCTION("""COMPUTED_VALUE"""),"Engenharia. Hidroelétrica. Eolioelétrica. Impedância")</f>
        <v>Engenharia. Hidroelétrica. Eolioelétrica. Impedância</v>
      </c>
      <c r="G12" s="28" t="str">
        <f>IFERROR(__xludf.DUMMYFUNCTION("""COMPUTED_VALUE"""),"9788572827645")</f>
        <v>9788572827645</v>
      </c>
      <c r="H12" s="27" t="str">
        <f>IFERROR(__xludf.DUMMYFUNCTION("""COMPUTED_VALUE"""),"http://www.editora.ufc.br/catalogo/76-engenharia-eletrica/980-geracao-hidroeletrica-e-eolioeletrica")</f>
        <v>http://www.editora.ufc.br/catalogo/76-engenharia-eletrica/980-geracao-hidroeletrica-e-eolioeletrica</v>
      </c>
      <c r="I12" s="24" t="str">
        <f>IFERROR(__xludf.DUMMYFUNCTION("""COMPUTED_VALUE"""),"Engenharias")</f>
        <v>Engenharias</v>
      </c>
    </row>
    <row r="13">
      <c r="A13" s="24" t="str">
        <f>IFERROR(__xludf.DUMMYFUNCTION("""COMPUTED_VALUE"""),"Livro de Minicursos SBRT 2018")</f>
        <v>Livro de Minicursos SBRT 2018</v>
      </c>
      <c r="B13" s="24" t="str">
        <f>IFERROR(__xludf.DUMMYFUNCTION("""COMPUTED_VALUE"""),"organizadores, Paulo Ribeiro Lins Júnior")</f>
        <v>organizadores, Paulo Ribeiro Lins Júnior</v>
      </c>
      <c r="C13" s="24" t="str">
        <f>IFERROR(__xludf.DUMMYFUNCTION("""COMPUTED_VALUE"""),"João Pessoa")</f>
        <v>João Pessoa</v>
      </c>
      <c r="D13" s="24" t="str">
        <f>IFERROR(__xludf.DUMMYFUNCTION("""COMPUTED_VALUE"""),"Editora IFPB")</f>
        <v>Editora IFPB</v>
      </c>
      <c r="E13" s="25">
        <f>IFERROR(__xludf.DUMMYFUNCTION("""COMPUTED_VALUE"""),2019.0)</f>
        <v>2019</v>
      </c>
      <c r="F13" s="24" t="str">
        <f>IFERROR(__xludf.DUMMYFUNCTION("""COMPUTED_VALUE"""),"Telecomunicações; Processamento de sinais; Minicursos")</f>
        <v>Telecomunicações; Processamento de sinais; Minicursos</v>
      </c>
      <c r="G13" s="28" t="str">
        <f>IFERROR(__xludf.DUMMYFUNCTION("""COMPUTED_VALUE"""),"9788554490218")</f>
        <v>9788554490218</v>
      </c>
      <c r="H13" s="27" t="str">
        <f>IFERROR(__xludf.DUMMYFUNCTION("""COMPUTED_VALUE"""),"http://editora.ifpb.edu.br/index.php/ifpb/catalog/book/231")</f>
        <v>http://editora.ifpb.edu.br/index.php/ifpb/catalog/book/231</v>
      </c>
      <c r="I13" s="24" t="str">
        <f>IFERROR(__xludf.DUMMYFUNCTION("""COMPUTED_VALUE"""),"Engenharias")</f>
        <v>Engenharias</v>
      </c>
    </row>
    <row r="14">
      <c r="A14" s="24" t="str">
        <f>IFERROR(__xludf.DUMMYFUNCTION("""COMPUTED_VALUE"""),"Metodologia para Análise de Riscos Geológico-geotécnicos em Ferrovias: Estrada de Ferro Carajás (EFC)")</f>
        <v>Metodologia para Análise de Riscos Geológico-geotécnicos em Ferrovias: Estrada de Ferro Carajás (EFC)</v>
      </c>
      <c r="B14" s="24" t="str">
        <f>IFERROR(__xludf.DUMMYFUNCTION("""COMPUTED_VALUE"""),"Rosyelle Cristina Corteletti")</f>
        <v>Rosyelle Cristina Corteletti</v>
      </c>
      <c r="C14" s="24" t="str">
        <f>IFERROR(__xludf.DUMMYFUNCTION("""COMPUTED_VALUE"""),"Ouro Preto")</f>
        <v>Ouro Preto</v>
      </c>
      <c r="D14" s="24" t="str">
        <f>IFERROR(__xludf.DUMMYFUNCTION("""COMPUTED_VALUE"""),"UFOP")</f>
        <v>UFOP</v>
      </c>
      <c r="E14" s="25">
        <f>IFERROR(__xludf.DUMMYFUNCTION("""COMPUTED_VALUE"""),2017.0)</f>
        <v>2017</v>
      </c>
      <c r="F14" s="24" t="str">
        <f>IFERROR(__xludf.DUMMYFUNCTION("""COMPUTED_VALUE"""),"Avaliação de riscos. Ferrovias. Estrada de Ferro Carajás (MA e PA)")</f>
        <v>Avaliação de riscos. Ferrovias. Estrada de Ferro Carajás (MA e PA)</v>
      </c>
      <c r="G14" s="28" t="str">
        <f>IFERROR(__xludf.DUMMYFUNCTION("""COMPUTED_VALUE"""),"9788528803518")</f>
        <v>9788528803518</v>
      </c>
      <c r="H14" s="27" t="str">
        <f>IFERROR(__xludf.DUMMYFUNCTION("""COMPUTED_VALUE"""),"https://www.editora.ufop.br/index.php/editora/catalog/view/130/105/343-1")</f>
        <v>https://www.editora.ufop.br/index.php/editora/catalog/view/130/105/343-1</v>
      </c>
      <c r="I14" s="24" t="str">
        <f>IFERROR(__xludf.DUMMYFUNCTION("""COMPUTED_VALUE"""),"Engenharias")</f>
        <v>Engenharias</v>
      </c>
    </row>
    <row r="15">
      <c r="A15" s="24" t="str">
        <f>IFERROR(__xludf.DUMMYFUNCTION("""COMPUTED_VALUE"""),"Minicursos SBRT 2019")</f>
        <v>Minicursos SBRT 2019</v>
      </c>
      <c r="B15" s="24" t="str">
        <f>IFERROR(__xludf.DUMMYFUNCTION("""COMPUTED_VALUE"""),"Diego Barreto Haddad; Edmar Candeia Gurjão; Lisandro Lovisolo (org.)")</f>
        <v>Diego Barreto Haddad; Edmar Candeia Gurjão; Lisandro Lovisolo (org.)</v>
      </c>
      <c r="C15" s="24" t="str">
        <f>IFERROR(__xludf.DUMMYFUNCTION("""COMPUTED_VALUE"""),"João Pessoa")</f>
        <v>João Pessoa</v>
      </c>
      <c r="D15" s="24" t="str">
        <f>IFERROR(__xludf.DUMMYFUNCTION("""COMPUTED_VALUE"""),"Editora IFPB")</f>
        <v>Editora IFPB</v>
      </c>
      <c r="E15" s="25">
        <f>IFERROR(__xludf.DUMMYFUNCTION("""COMPUTED_VALUE"""),2019.0)</f>
        <v>2019</v>
      </c>
      <c r="F15" s="24" t="str">
        <f>IFERROR(__xludf.DUMMYFUNCTION("""COMPUTED_VALUE"""),"Telecomunicações; Processamento de sinais; Minicursos")</f>
        <v>Telecomunicações; Processamento de sinais; Minicursos</v>
      </c>
      <c r="G15" s="28" t="str">
        <f>IFERROR(__xludf.DUMMYFUNCTION("""COMPUTED_VALUE"""),"9788554490324")</f>
        <v>9788554490324</v>
      </c>
      <c r="H15" s="27" t="str">
        <f>IFERROR(__xludf.DUMMYFUNCTION("""COMPUTED_VALUE"""),"http://editora.ifpb.edu.br/index.php/ifpb/catalog/book/245")</f>
        <v>http://editora.ifpb.edu.br/index.php/ifpb/catalog/book/245</v>
      </c>
      <c r="I15" s="24" t="str">
        <f>IFERROR(__xludf.DUMMYFUNCTION("""COMPUTED_VALUE"""),"Engenharias")</f>
        <v>Engenharias</v>
      </c>
    </row>
    <row r="16">
      <c r="A16" s="24" t="str">
        <f>IFERROR(__xludf.DUMMYFUNCTION("""COMPUTED_VALUE"""),"Oportunidades enterradas: geração elétrica a partir do biogás de resíduos sólidos urbanos")</f>
        <v>Oportunidades enterradas: geração elétrica a partir do biogás de resíduos sólidos urbanos</v>
      </c>
      <c r="B16" s="24" t="str">
        <f>IFERROR(__xludf.DUMMYFUNCTION("""COMPUTED_VALUE"""),"André Neiva Tavares, Glicia Vieira dos Santos, Ruy de Quadros Carvalho (autores)")</f>
        <v>André Neiva Tavares, Glicia Vieira dos Santos, Ruy de Quadros Carvalho (autores)</v>
      </c>
      <c r="C16" s="24" t="str">
        <f>IFERROR(__xludf.DUMMYFUNCTION("""COMPUTED_VALUE"""),"Vitória")</f>
        <v>Vitória</v>
      </c>
      <c r="D16" s="24" t="str">
        <f>IFERROR(__xludf.DUMMYFUNCTION("""COMPUTED_VALUE"""),"EDUFES")</f>
        <v>EDUFES</v>
      </c>
      <c r="E16" s="25">
        <f>IFERROR(__xludf.DUMMYFUNCTION("""COMPUTED_VALUE"""),2019.0)</f>
        <v>2019</v>
      </c>
      <c r="F16" s="24" t="str">
        <f>IFERROR(__xludf.DUMMYFUNCTION("""COMPUTED_VALUE"""),"Biogás; Resíduos sólidos; Geração elétrica")</f>
        <v>Biogás; Resíduos sólidos; Geração elétrica</v>
      </c>
      <c r="G16" s="28" t="str">
        <f>IFERROR(__xludf.DUMMYFUNCTION("""COMPUTED_VALUE"""),"9788577724260")</f>
        <v>9788577724260</v>
      </c>
      <c r="H16" s="27" t="str">
        <f>IFERROR(__xludf.DUMMYFUNCTION("""COMPUTED_VALUE"""),"http://repositorio.ufes.br/bitstream/10/11417/1/Oportunidades_Enterradas.pdf")</f>
        <v>http://repositorio.ufes.br/bitstream/10/11417/1/Oportunidades_Enterradas.pdf</v>
      </c>
      <c r="I16" s="24" t="str">
        <f>IFERROR(__xludf.DUMMYFUNCTION("""COMPUTED_VALUE"""),"Engenharias")</f>
        <v>Engenharias</v>
      </c>
    </row>
    <row r="17">
      <c r="A17" s="24" t="str">
        <f>IFERROR(__xludf.DUMMYFUNCTION("""COMPUTED_VALUE"""),"Pesquisa em arquitetura e urbanismo na Amazônia")</f>
        <v>Pesquisa em arquitetura e urbanismo na Amazônia</v>
      </c>
      <c r="B17" s="24" t="str">
        <f>IFERROR(__xludf.DUMMYFUNCTION("""COMPUTED_VALUE"""),"José Alberto Tostes (org.)")</f>
        <v>José Alberto Tostes (org.)</v>
      </c>
      <c r="C17" s="24" t="str">
        <f>IFERROR(__xludf.DUMMYFUNCTION("""COMPUTED_VALUE"""),"Macapá")</f>
        <v>Macapá</v>
      </c>
      <c r="D17" s="24" t="str">
        <f>IFERROR(__xludf.DUMMYFUNCTION("""COMPUTED_VALUE"""),"UNIFAP")</f>
        <v>UNIFAP</v>
      </c>
      <c r="E17" s="25">
        <f>IFERROR(__xludf.DUMMYFUNCTION("""COMPUTED_VALUE"""),2019.0)</f>
        <v>2019</v>
      </c>
      <c r="F17" s="24" t="str">
        <f>IFERROR(__xludf.DUMMYFUNCTION("""COMPUTED_VALUE"""),"Arquitetura e Urbanismo; Arquitetura; Urbanismo")</f>
        <v>Arquitetura e Urbanismo; Arquitetura; Urbanismo</v>
      </c>
      <c r="G17" s="28" t="str">
        <f>IFERROR(__xludf.DUMMYFUNCTION("""COMPUTED_VALUE"""),"9788554760724")</f>
        <v>9788554760724</v>
      </c>
      <c r="H17" s="27" t="str">
        <f>IFERROR(__xludf.DUMMYFUNCTION("""COMPUTED_VALUE"""),"https://www2.unifap.br/editora/files/2019/06/pesquisa-em-arquitetura-e-urbanismo-na-amazonia.pdf")</f>
        <v>https://www2.unifap.br/editora/files/2019/06/pesquisa-em-arquitetura-e-urbanismo-na-amazonia.pdf</v>
      </c>
      <c r="I17" s="24" t="str">
        <f>IFERROR(__xludf.DUMMYFUNCTION("""COMPUTED_VALUE"""),"Engenharias")</f>
        <v>Engenharias</v>
      </c>
    </row>
    <row r="18">
      <c r="A18" s="24" t="str">
        <f>IFERROR(__xludf.DUMMYFUNCTION("""COMPUTED_VALUE"""),"Política nacional de resíduos sólidos e suas interfaces com o espaço geográfico: entre conquistas e desafios")</f>
        <v>Política nacional de resíduos sólidos e suas interfaces com o espaço geográfico: entre conquistas e desafios</v>
      </c>
      <c r="B18" s="24" t="str">
        <f>IFERROR(__xludf.DUMMYFUNCTION("""COMPUTED_VALUE"""),"Amaro, Aurélio Bandeira; Verdum, Roberto")</f>
        <v>Amaro, Aurélio Bandeira; Verdum, Roberto</v>
      </c>
      <c r="C18" s="24" t="str">
        <f>IFERROR(__xludf.DUMMYFUNCTION("""COMPUTED_VALUE"""),"Porto Alegre")</f>
        <v>Porto Alegre</v>
      </c>
      <c r="D18" s="24" t="str">
        <f>IFERROR(__xludf.DUMMYFUNCTION("""COMPUTED_VALUE"""),"Letra1")</f>
        <v>Letra1</v>
      </c>
      <c r="E18" s="25">
        <f>IFERROR(__xludf.DUMMYFUNCTION("""COMPUTED_VALUE"""),2016.0)</f>
        <v>2016</v>
      </c>
      <c r="F18" s="24" t="str">
        <f>IFERROR(__xludf.DUMMYFUNCTION("""COMPUTED_VALUE"""),"Aterro sanitário; Coleta seletiva; Geografia ambiental; Geografia urbana; Gestão de resíduos")</f>
        <v>Aterro sanitário; Coleta seletiva; Geografia ambiental; Geografia urbana; Gestão de resíduos</v>
      </c>
      <c r="G18" s="28" t="str">
        <f>IFERROR(__xludf.DUMMYFUNCTION("""COMPUTED_VALUE"""),"9788563800237")</f>
        <v>9788563800237</v>
      </c>
      <c r="H18" s="27" t="str">
        <f>IFERROR(__xludf.DUMMYFUNCTION("""COMPUTED_VALUE"""),"http://dx.doi.org/10.21826/9788563800237")</f>
        <v>http://dx.doi.org/10.21826/9788563800237</v>
      </c>
      <c r="I18" s="24" t="str">
        <f>IFERROR(__xludf.DUMMYFUNCTION("""COMPUTED_VALUE"""),"Engenharias")</f>
        <v>Engenharias</v>
      </c>
    </row>
    <row r="19">
      <c r="A19" s="24" t="str">
        <f>IFERROR(__xludf.DUMMYFUNCTION("""COMPUTED_VALUE"""),"Políticas de inovação no setor elétrico brasileiro")</f>
        <v>Políticas de inovação no setor elétrico brasileiro</v>
      </c>
      <c r="B19" s="24" t="str">
        <f>IFERROR(__xludf.DUMMYFUNCTION("""COMPUTED_VALUE"""),"André Tosi Furtado")</f>
        <v>André Tosi Furtado</v>
      </c>
      <c r="C19" s="24" t="str">
        <f>IFERROR(__xludf.DUMMYFUNCTION("""COMPUTED_VALUE"""),"Vitória")</f>
        <v>Vitória</v>
      </c>
      <c r="D19" s="24" t="str">
        <f>IFERROR(__xludf.DUMMYFUNCTION("""COMPUTED_VALUE"""),"EDUFES")</f>
        <v>EDUFES</v>
      </c>
      <c r="E19" s="25">
        <f>IFERROR(__xludf.DUMMYFUNCTION("""COMPUTED_VALUE"""),2015.0)</f>
        <v>2015</v>
      </c>
      <c r="F19" s="24" t="str">
        <f>IFERROR(__xludf.DUMMYFUNCTION("""COMPUTED_VALUE"""),"Energia elétrica; Brasil; Política energética")</f>
        <v>Energia elétrica; Brasil; Política energética</v>
      </c>
      <c r="G19" s="28" t="str">
        <f>IFERROR(__xludf.DUMMYFUNCTION("""COMPUTED_VALUE"""),"9788577723003")</f>
        <v>9788577723003</v>
      </c>
      <c r="H19" s="27" t="str">
        <f>IFERROR(__xludf.DUMMYFUNCTION("""COMPUTED_VALUE"""),"http://repositorio.ufes.br/handle/10/6759")</f>
        <v>http://repositorio.ufes.br/handle/10/6759</v>
      </c>
      <c r="I19" s="24" t="str">
        <f>IFERROR(__xludf.DUMMYFUNCTION("""COMPUTED_VALUE"""),"Engenharias")</f>
        <v>Engenharias</v>
      </c>
    </row>
    <row r="20">
      <c r="A20" s="24" t="str">
        <f>IFERROR(__xludf.DUMMYFUNCTION("""COMPUTED_VALUE"""),"Qualidade na construção civil")</f>
        <v>Qualidade na construção civil</v>
      </c>
      <c r="B20" s="24" t="str">
        <f>IFERROR(__xludf.DUMMYFUNCTION("""COMPUTED_VALUE"""),"Alexsandra Rocha Meira, Nelma Mirian Chagas de Araújo")</f>
        <v>Alexsandra Rocha Meira, Nelma Mirian Chagas de Araújo</v>
      </c>
      <c r="C20" s="24" t="str">
        <f>IFERROR(__xludf.DUMMYFUNCTION("""COMPUTED_VALUE"""),"João Pessoa")</f>
        <v>João Pessoa</v>
      </c>
      <c r="D20" s="24" t="str">
        <f>IFERROR(__xludf.DUMMYFUNCTION("""COMPUTED_VALUE"""),"Editora IFPB")</f>
        <v>Editora IFPB</v>
      </c>
      <c r="E20" s="25">
        <f>IFERROR(__xludf.DUMMYFUNCTION("""COMPUTED_VALUE"""),2016.0)</f>
        <v>2016</v>
      </c>
      <c r="F20" s="24" t="str">
        <f>IFERROR(__xludf.DUMMYFUNCTION("""COMPUTED_VALUE"""),"Construção civil; Qualidade na construção civil; Gestão da qualidade")</f>
        <v>Construção civil; Qualidade na construção civil; Gestão da qualidade</v>
      </c>
      <c r="G20" s="28" t="str">
        <f>IFERROR(__xludf.DUMMYFUNCTION("""COMPUTED_VALUE"""),"9788563406699")</f>
        <v>9788563406699</v>
      </c>
      <c r="H20" s="27" t="str">
        <f>IFERROR(__xludf.DUMMYFUNCTION("""COMPUTED_VALUE"""),"http://editora.ifpb.edu.br/index.php/ifpb/catalog/book/13")</f>
        <v>http://editora.ifpb.edu.br/index.php/ifpb/catalog/book/13</v>
      </c>
      <c r="I20" s="24" t="str">
        <f>IFERROR(__xludf.DUMMYFUNCTION("""COMPUTED_VALUE"""),"Engenharias")</f>
        <v>Engenharias</v>
      </c>
    </row>
    <row r="21">
      <c r="A21" s="24" t="str">
        <f>IFERROR(__xludf.DUMMYFUNCTION("""COMPUTED_VALUE"""),"Resíduos sólidos: abordagens práticas em educação ambiental")</f>
        <v>Resíduos sólidos: abordagens práticas em educação ambiental</v>
      </c>
      <c r="B21" s="24" t="str">
        <f>IFERROR(__xludf.DUMMYFUNCTION("""COMPUTED_VALUE"""),"Wagner José de Aguiar, Soraya Giovanetti El-Deir, Raísa Prota Lins Bezerra (org.)")</f>
        <v>Wagner José de Aguiar, Soraya Giovanetti El-Deir, Raísa Prota Lins Bezerra (org.)</v>
      </c>
      <c r="C21" s="24" t="str">
        <f>IFERROR(__xludf.DUMMYFUNCTION("""COMPUTED_VALUE"""),"Recife")</f>
        <v>Recife</v>
      </c>
      <c r="D21" s="24" t="str">
        <f>IFERROR(__xludf.DUMMYFUNCTION("""COMPUTED_VALUE"""),"Editora Universitária da UFRPE")</f>
        <v>Editora Universitária da UFRPE</v>
      </c>
      <c r="E21" s="25">
        <f>IFERROR(__xludf.DUMMYFUNCTION("""COMPUTED_VALUE"""),2017.0)</f>
        <v>2017</v>
      </c>
      <c r="F21" s="24" t="str">
        <f>IFERROR(__xludf.DUMMYFUNCTION("""COMPUTED_VALUE"""),"Percepção ambiental; Práticas educativas; Sustentabilidade")</f>
        <v>Percepção ambiental; Práticas educativas; Sustentabilidade</v>
      </c>
      <c r="G21" s="28" t="str">
        <f>IFERROR(__xludf.DUMMYFUNCTION("""COMPUTED_VALUE"""),"9788579462849")</f>
        <v>9788579462849</v>
      </c>
      <c r="H21" s="27" t="str">
        <f>IFERROR(__xludf.DUMMYFUNCTION("""COMPUTED_VALUE"""),"https://www.dropbox.com/s/ffwlixroo7ex96r/Epersol_2017_Educacao_ambiental.pdf?dl=0")</f>
        <v>https://www.dropbox.com/s/ffwlixroo7ex96r/Epersol_2017_Educacao_ambiental.pdf?dl=0</v>
      </c>
      <c r="I21" s="24" t="str">
        <f>IFERROR(__xludf.DUMMYFUNCTION("""COMPUTED_VALUE"""),"Engenharias")</f>
        <v>Engenharias</v>
      </c>
    </row>
    <row r="22">
      <c r="A22" s="24" t="str">
        <f>IFERROR(__xludf.DUMMYFUNCTION("""COMPUTED_VALUE"""),"Resíduos sólidos: diagnósticos e alternativas para a gestão integrada")</f>
        <v>Resíduos sólidos: diagnósticos e alternativas para a gestão integrada</v>
      </c>
      <c r="B22" s="24" t="str">
        <f>IFERROR(__xludf.DUMMYFUNCTION("""COMPUTED_VALUE"""),"Soraya Giovanetti El-Deir, Sara Maria Gomes Pinheiro, Wagner José de Aguiar (org.)")</f>
        <v>Soraya Giovanetti El-Deir, Sara Maria Gomes Pinheiro, Wagner José de Aguiar (org.)</v>
      </c>
      <c r="C22" s="24" t="str">
        <f>IFERROR(__xludf.DUMMYFUNCTION("""COMPUTED_VALUE"""),"Recife")</f>
        <v>Recife</v>
      </c>
      <c r="D22" s="24" t="str">
        <f>IFERROR(__xludf.DUMMYFUNCTION("""COMPUTED_VALUE"""),"Editora Universitária da UFRPE")</f>
        <v>Editora Universitária da UFRPE</v>
      </c>
      <c r="E22" s="25">
        <f>IFERROR(__xludf.DUMMYFUNCTION("""COMPUTED_VALUE"""),2017.0)</f>
        <v>2017</v>
      </c>
      <c r="F22" s="24" t="str">
        <f>IFERROR(__xludf.DUMMYFUNCTION("""COMPUTED_VALUE"""),"Gerenciamento; Rejeitos; Coleta seletiva")</f>
        <v>Gerenciamento; Rejeitos; Coleta seletiva</v>
      </c>
      <c r="G22" s="28" t="str">
        <f>IFERROR(__xludf.DUMMYFUNCTION("""COMPUTED_VALUE"""),"9788579462870")</f>
        <v>9788579462870</v>
      </c>
      <c r="H22" s="27" t="str">
        <f>IFERROR(__xludf.DUMMYFUNCTION("""COMPUTED_VALUE"""),"https://www.dropbox.com/s/dmxsvd1a2han61m/Epersol2017-ebook-gestaointegrada.pdf?dl=0")</f>
        <v>https://www.dropbox.com/s/dmxsvd1a2han61m/Epersol2017-ebook-gestaointegrada.pdf?dl=0</v>
      </c>
      <c r="I22" s="24" t="str">
        <f>IFERROR(__xludf.DUMMYFUNCTION("""COMPUTED_VALUE"""),"Engenharias")</f>
        <v>Engenharias</v>
      </c>
    </row>
    <row r="23">
      <c r="A23" s="24" t="str">
        <f>IFERROR(__xludf.DUMMYFUNCTION("""COMPUTED_VALUE"""),"Resíduos sólidos: gestão em indústrias e novas tecnologias")</f>
        <v>Resíduos sólidos: gestão em indústrias e novas tecnologias</v>
      </c>
      <c r="B23" s="24" t="str">
        <f>IFERROR(__xludf.DUMMYFUNCTION("""COMPUTED_VALUE"""),"Raísa Prota Lins Bezerra, Wagner José de Aguiar, Soraya Giovanetti El-Deir (org.)")</f>
        <v>Raísa Prota Lins Bezerra, Wagner José de Aguiar, Soraya Giovanetti El-Deir (org.)</v>
      </c>
      <c r="C23" s="24" t="str">
        <f>IFERROR(__xludf.DUMMYFUNCTION("""COMPUTED_VALUE"""),"Recife")</f>
        <v>Recife</v>
      </c>
      <c r="D23" s="24" t="str">
        <f>IFERROR(__xludf.DUMMYFUNCTION("""COMPUTED_VALUE"""),"Editora Universitária da UFRPE")</f>
        <v>Editora Universitária da UFRPE</v>
      </c>
      <c r="E23" s="25">
        <f>IFERROR(__xludf.DUMMYFUNCTION("""COMPUTED_VALUE"""),2017.0)</f>
        <v>2017</v>
      </c>
      <c r="F23" s="24" t="str">
        <f>IFERROR(__xludf.DUMMYFUNCTION("""COMPUTED_VALUE"""),"Sustentabilidade; Engenharia ambiental; Rejeitos")</f>
        <v>Sustentabilidade; Engenharia ambiental; Rejeitos</v>
      </c>
      <c r="G23" s="28" t="str">
        <f>IFERROR(__xludf.DUMMYFUNCTION("""COMPUTED_VALUE"""),"9788579462856")</f>
        <v>9788579462856</v>
      </c>
      <c r="H23" s="27" t="str">
        <f>IFERROR(__xludf.DUMMYFUNCTION("""COMPUTED_VALUE"""),"https://www.dropbox.com/s/lduryv08741zjnq/Epersol_2017_Res%C3%ADduos_Industriais_e_Novas_Tecnologias.pdf?dl=0")</f>
        <v>https://www.dropbox.com/s/lduryv08741zjnq/Epersol_2017_Res%C3%ADduos_Industriais_e_Novas_Tecnologias.pdf?dl=0</v>
      </c>
      <c r="I23" s="24" t="str">
        <f>IFERROR(__xludf.DUMMYFUNCTION("""COMPUTED_VALUE"""),"Engenharias")</f>
        <v>Engenharias</v>
      </c>
    </row>
    <row r="24">
      <c r="A24" s="24" t="str">
        <f>IFERROR(__xludf.DUMMYFUNCTION("""COMPUTED_VALUE"""),"Resíduos sólidos: gestão pública e privada")</f>
        <v>Resíduos sólidos: gestão pública e privada</v>
      </c>
      <c r="B24" s="24" t="str">
        <f>IFERROR(__xludf.DUMMYFUNCTION("""COMPUTED_VALUE"""),"Daniel Pernambucano de Mello, Soraya Giovanetti El-Deir, Rodrigo Cândido Passos da Silva, João Paulo de Oliveira Santos (org.)")</f>
        <v>Daniel Pernambucano de Mello, Soraya Giovanetti El-Deir, Rodrigo Cândido Passos da Silva, João Paulo de Oliveira Santos (org.)</v>
      </c>
      <c r="C24" s="24" t="str">
        <f>IFERROR(__xludf.DUMMYFUNCTION("""COMPUTED_VALUE"""),"Recife")</f>
        <v>Recife</v>
      </c>
      <c r="D24" s="24" t="str">
        <f>IFERROR(__xludf.DUMMYFUNCTION("""COMPUTED_VALUE"""),"Editora Universitária da UFRPE")</f>
        <v>Editora Universitária da UFRPE</v>
      </c>
      <c r="E24" s="25">
        <f>IFERROR(__xludf.DUMMYFUNCTION("""COMPUTED_VALUE"""),2018.0)</f>
        <v>2018</v>
      </c>
      <c r="F24" s="24" t="str">
        <f>IFERROR(__xludf.DUMMYFUNCTION("""COMPUTED_VALUE"""),"Legislação ambiental; Políticas públicas; Sustentabilidade; Universidades; Faculdades")</f>
        <v>Legislação ambiental; Políticas públicas; Sustentabilidade; Universidades; Faculdades</v>
      </c>
      <c r="G24" s="28" t="str">
        <f>IFERROR(__xludf.DUMMYFUNCTION("""COMPUTED_VALUE"""),"9788579463150")</f>
        <v>9788579463150</v>
      </c>
      <c r="H24" s="27" t="str">
        <f>IFERROR(__xludf.DUMMYFUNCTION("""COMPUTED_VALUE"""),"https://www.dropbox.com/s/41yr6tosu5pv1mz/ebook_gestao%20publica%20e%20privada.pdf?dl=0")</f>
        <v>https://www.dropbox.com/s/41yr6tosu5pv1mz/ebook_gestao%20publica%20e%20privada.pdf?dl=0</v>
      </c>
      <c r="I24" s="24" t="str">
        <f>IFERROR(__xludf.DUMMYFUNCTION("""COMPUTED_VALUE"""),"Engenharias")</f>
        <v>Engenharias</v>
      </c>
    </row>
    <row r="25">
      <c r="A25" s="24" t="str">
        <f>IFERROR(__xludf.DUMMYFUNCTION("""COMPUTED_VALUE"""),"Resíduos sólidos: impactos ambientais e inovações tecnológicas")</f>
        <v>Resíduos sólidos: impactos ambientais e inovações tecnológicas</v>
      </c>
      <c r="B25" s="24" t="str">
        <f>IFERROR(__xludf.DUMMYFUNCTION("""COMPUTED_VALUE"""),"André Cardim de Aguiar, Kardelan Arteiro da Silva e Soraya Giovanetti El-Deir (org.)")</f>
        <v>André Cardim de Aguiar, Kardelan Arteiro da Silva e Soraya Giovanetti El-Deir (org.)</v>
      </c>
      <c r="C25" s="24" t="str">
        <f>IFERROR(__xludf.DUMMYFUNCTION("""COMPUTED_VALUE"""),"Recife")</f>
        <v>Recife</v>
      </c>
      <c r="D25" s="24" t="str">
        <f>IFERROR(__xludf.DUMMYFUNCTION("""COMPUTED_VALUE"""),"Editora Universitária da UFRPE")</f>
        <v>Editora Universitária da UFRPE</v>
      </c>
      <c r="E25" s="25">
        <f>IFERROR(__xludf.DUMMYFUNCTION("""COMPUTED_VALUE"""),2019.0)</f>
        <v>2019</v>
      </c>
      <c r="F25" s="24" t="str">
        <f>IFERROR(__xludf.DUMMYFUNCTION("""COMPUTED_VALUE"""),"Resíduos sólidos; Lixo; Aspectos ambientais; Tecnologia ambiental; Inovação tecnológica")</f>
        <v>Resíduos sólidos; Lixo; Aspectos ambientais; Tecnologia ambiental; Inovação tecnológica</v>
      </c>
      <c r="G25" s="28" t="str">
        <f>IFERROR(__xludf.DUMMYFUNCTION("""COMPUTED_VALUE"""),"9788579463372")</f>
        <v>9788579463372</v>
      </c>
      <c r="H25" s="27" t="str">
        <f>IFERROR(__xludf.DUMMYFUNCTION("""COMPUTED_VALUE"""),"https://drive.google.com/file/d/1ZTnBEOIoeiUclTN82a6tEp0KjvUjeoo3/view?usp=sharing")</f>
        <v>https://drive.google.com/file/d/1ZTnBEOIoeiUclTN82a6tEp0KjvUjeoo3/view?usp=sharing</v>
      </c>
      <c r="I25" s="24" t="str">
        <f>IFERROR(__xludf.DUMMYFUNCTION("""COMPUTED_VALUE"""),"Engenharias")</f>
        <v>Engenharias</v>
      </c>
    </row>
    <row r="26">
      <c r="A26" s="24" t="str">
        <f>IFERROR(__xludf.DUMMYFUNCTION("""COMPUTED_VALUE"""),"Resíduos sólidos: impactos socioeconômicos e ambientais")</f>
        <v>Resíduos sólidos: impactos socioeconômicos e ambientais</v>
      </c>
      <c r="B26" s="24" t="str">
        <f>IFERROR(__xludf.DUMMYFUNCTION("""COMPUTED_VALUE"""),"João Paulo de Oliveira Santos, Rodrigo Cândido Passos da Silva, Daniel Pernambucano de Mello, Soraya Giovanetti El-Deir (org.)")</f>
        <v>João Paulo de Oliveira Santos, Rodrigo Cândido Passos da Silva, Daniel Pernambucano de Mello, Soraya Giovanetti El-Deir (org.)</v>
      </c>
      <c r="C26" s="24" t="str">
        <f>IFERROR(__xludf.DUMMYFUNCTION("""COMPUTED_VALUE"""),"Recife")</f>
        <v>Recife</v>
      </c>
      <c r="D26" s="24" t="str">
        <f>IFERROR(__xludf.DUMMYFUNCTION("""COMPUTED_VALUE"""),"Editora Universitária da UFRPE")</f>
        <v>Editora Universitária da UFRPE</v>
      </c>
      <c r="E26" s="25">
        <f>IFERROR(__xludf.DUMMYFUNCTION("""COMPUTED_VALUE"""),2018.0)</f>
        <v>2018</v>
      </c>
      <c r="F26" s="24" t="str">
        <f>IFERROR(__xludf.DUMMYFUNCTION("""COMPUTED_VALUE"""),"Diagnóstico; Avaliação; REEE; Resíduos de Serviço de Saúde")</f>
        <v>Diagnóstico; Avaliação; REEE; Resíduos de Serviço de Saúde</v>
      </c>
      <c r="G26" s="28" t="str">
        <f>IFERROR(__xludf.DUMMYFUNCTION("""COMPUTED_VALUE"""),"9788579463136")</f>
        <v>9788579463136</v>
      </c>
      <c r="H26" s="27" t="str">
        <f>IFERROR(__xludf.DUMMYFUNCTION("""COMPUTED_VALUE"""),"https://drive.google.com/file/d/15tiEwrEAmlkwTDRvjONnNRdmDLZDfL15/view?usp=sharing ")</f>
        <v>https://drive.google.com/file/d/15tiEwrEAmlkwTDRvjONnNRdmDLZDfL15/view?usp=sharing </v>
      </c>
      <c r="I26" s="24" t="str">
        <f>IFERROR(__xludf.DUMMYFUNCTION("""COMPUTED_VALUE"""),"Engenharias")</f>
        <v>Engenharias</v>
      </c>
    </row>
    <row r="27">
      <c r="A27" s="24" t="str">
        <f>IFERROR(__xludf.DUMMYFUNCTION("""COMPUTED_VALUE"""),"Resíduos sólidos: o desafio do gestão integrada de resíduos sólidos face aos objetivos do desenvolvimento sustentável")</f>
        <v>Resíduos sólidos: o desafio do gestão integrada de resíduos sólidos face aos objetivos do desenvolvimento sustentável</v>
      </c>
      <c r="B27" s="24" t="str">
        <f>IFERROR(__xludf.DUMMYFUNCTION("""COMPUTED_VALUE"""),"Soraya Giovanetti El-Deir, Alcione Moraes Melo, Thaís Jeruzza Maciel Póvoas Souto (org.)")</f>
        <v>Soraya Giovanetti El-Deir, Alcione Moraes Melo, Thaís Jeruzza Maciel Póvoas Souto (org.)</v>
      </c>
      <c r="C27" s="24" t="str">
        <f>IFERROR(__xludf.DUMMYFUNCTION("""COMPUTED_VALUE"""),"Recife")</f>
        <v>Recife</v>
      </c>
      <c r="D27" s="24" t="str">
        <f>IFERROR(__xludf.DUMMYFUNCTION("""COMPUTED_VALUE"""),"Editora Universitária da UFRPE")</f>
        <v>Editora Universitária da UFRPE</v>
      </c>
      <c r="E27" s="25">
        <f>IFERROR(__xludf.DUMMYFUNCTION("""COMPUTED_VALUE"""),2016.0)</f>
        <v>2016</v>
      </c>
      <c r="F27" s="24" t="str">
        <f>IFERROR(__xludf.DUMMYFUNCTION("""COMPUTED_VALUE"""),"Gerenciamento; Rejeitos; Coleta seletiva")</f>
        <v>Gerenciamento; Rejeitos; Coleta seletiva</v>
      </c>
      <c r="G27" s="28" t="str">
        <f>IFERROR(__xludf.DUMMYFUNCTION("""COMPUTED_VALUE"""),"978857946263")</f>
        <v>978857946263</v>
      </c>
      <c r="H27" s="27" t="str">
        <f>IFERROR(__xludf.DUMMYFUNCTION("""COMPUTED_VALUE"""),"https://www.dropbox.com/s/l5op883bc56n78s/Epersol_2016_Objetivos_do_DS.pdf?dl=0")</f>
        <v>https://www.dropbox.com/s/l5op883bc56n78s/Epersol_2016_Objetivos_do_DS.pdf?dl=0</v>
      </c>
      <c r="I27" s="24" t="str">
        <f>IFERROR(__xludf.DUMMYFUNCTION("""COMPUTED_VALUE"""),"Engenharias")</f>
        <v>Engenharias</v>
      </c>
    </row>
    <row r="28">
      <c r="A28" s="24" t="str">
        <f>IFERROR(__xludf.DUMMYFUNCTION("""COMPUTED_VALUE"""),"Resíduos sólidos: os desafios da gestão")</f>
        <v>Resíduos sólidos: os desafios da gestão</v>
      </c>
      <c r="B28" s="24" t="str">
        <f>IFERROR(__xludf.DUMMYFUNCTION("""COMPUTED_VALUE"""),"Ilana Lopes da Silva Nunes, Lidiane Almeida Pessoa e Soraya Giovanetti El-Deir (org.)")</f>
        <v>Ilana Lopes da Silva Nunes, Lidiane Almeida Pessoa e Soraya Giovanetti El-Deir (org.)</v>
      </c>
      <c r="C28" s="24" t="str">
        <f>IFERROR(__xludf.DUMMYFUNCTION("""COMPUTED_VALUE"""),"Recife")</f>
        <v>Recife</v>
      </c>
      <c r="D28" s="24" t="str">
        <f>IFERROR(__xludf.DUMMYFUNCTION("""COMPUTED_VALUE"""),"Editora Universitária da UFRPE")</f>
        <v>Editora Universitária da UFRPE</v>
      </c>
      <c r="E28" s="25">
        <f>IFERROR(__xludf.DUMMYFUNCTION("""COMPUTED_VALUE"""),2019.0)</f>
        <v>2019</v>
      </c>
      <c r="F28" s="24" t="str">
        <f>IFERROR(__xludf.DUMMYFUNCTION("""COMPUTED_VALUE"""),"Gestão integrada de resíduos sólidos; Sustentabilidade; Responsabilidade ambiental")</f>
        <v>Gestão integrada de resíduos sólidos; Sustentabilidade; Responsabilidade ambiental</v>
      </c>
      <c r="G28" s="28" t="str">
        <f>IFERROR(__xludf.DUMMYFUNCTION("""COMPUTED_VALUE"""),"9788579463365")</f>
        <v>9788579463365</v>
      </c>
      <c r="H28" s="27" t="str">
        <f>IFERROR(__xludf.DUMMYFUNCTION("""COMPUTED_VALUE"""),"https://drive.google.com/file/d/1UcR7GjSAA-9I49s3If95SGu8evEZECcf/view?usp=sharing ")</f>
        <v>https://drive.google.com/file/d/1UcR7GjSAA-9I49s3If95SGu8evEZECcf/view?usp=sharing </v>
      </c>
      <c r="I28" s="24" t="str">
        <f>IFERROR(__xludf.DUMMYFUNCTION("""COMPUTED_VALUE"""),"Engenharias")</f>
        <v>Engenharias</v>
      </c>
    </row>
    <row r="29">
      <c r="A29" s="24" t="str">
        <f>IFERROR(__xludf.DUMMYFUNCTION("""COMPUTED_VALUE"""),"Resíduos sólidos: perspectivas e desafios para a gestão integrada")</f>
        <v>Resíduos sólidos: perspectivas e desafios para a gestão integrada</v>
      </c>
      <c r="B29" s="24" t="str">
        <f>IFERROR(__xludf.DUMMYFUNCTION("""COMPUTED_VALUE"""),"Soraya Giovanetti El-Deir (org.)")</f>
        <v>Soraya Giovanetti El-Deir (org.)</v>
      </c>
      <c r="C29" s="24" t="str">
        <f>IFERROR(__xludf.DUMMYFUNCTION("""COMPUTED_VALUE"""),"Recife")</f>
        <v>Recife</v>
      </c>
      <c r="D29" s="24" t="str">
        <f>IFERROR(__xludf.DUMMYFUNCTION("""COMPUTED_VALUE"""),"Editora Universitária da UFRPE")</f>
        <v>Editora Universitária da UFRPE</v>
      </c>
      <c r="E29" s="25">
        <f>IFERROR(__xludf.DUMMYFUNCTION("""COMPUTED_VALUE"""),2014.0)</f>
        <v>2014</v>
      </c>
      <c r="F29" s="24" t="str">
        <f>IFERROR(__xludf.DUMMYFUNCTION("""COMPUTED_VALUE"""),"Resíduos sólidos; Saneamento ambiental; Gestão integrada; Desenvolvimento sustentável")</f>
        <v>Resíduos sólidos; Saneamento ambiental; Gestão integrada; Desenvolvimento sustentável</v>
      </c>
      <c r="G29" s="28" t="str">
        <f>IFERROR(__xludf.DUMMYFUNCTION("""COMPUTED_VALUE"""),"9788579461958")</f>
        <v>9788579461958</v>
      </c>
      <c r="H29" s="27" t="str">
        <f>IFERROR(__xludf.DUMMYFUNCTION("""COMPUTED_VALUE"""),"https://www.dropbox.com/s/utwl2p626icj3zb/ebook_residuos_solidos_2014.pdf?dl=0")</f>
        <v>https://www.dropbox.com/s/utwl2p626icj3zb/ebook_residuos_solidos_2014.pdf?dl=0</v>
      </c>
      <c r="I29" s="24" t="str">
        <f>IFERROR(__xludf.DUMMYFUNCTION("""COMPUTED_VALUE"""),"Engenharias")</f>
        <v>Engenharias</v>
      </c>
    </row>
    <row r="30">
      <c r="A30" s="24" t="str">
        <f>IFERROR(__xludf.DUMMYFUNCTION("""COMPUTED_VALUE"""),"Resíduos sólidos: práticas para uma gestão sustentável")</f>
        <v>Resíduos sólidos: práticas para uma gestão sustentável</v>
      </c>
      <c r="B30" s="24" t="str">
        <f>IFERROR(__xludf.DUMMYFUNCTION("""COMPUTED_VALUE"""),"Soraya Giovanetti El-Deir, Sara Maria Gomes Pinheiro e Wagner José de Aguiar (org.)")</f>
        <v>Soraya Giovanetti El-Deir, Sara Maria Gomes Pinheiro e Wagner José de Aguiar (org.)</v>
      </c>
      <c r="C30" s="24" t="str">
        <f>IFERROR(__xludf.DUMMYFUNCTION("""COMPUTED_VALUE"""),"Recife")</f>
        <v>Recife</v>
      </c>
      <c r="D30" s="24" t="str">
        <f>IFERROR(__xludf.DUMMYFUNCTION("""COMPUTED_VALUE"""),"Editora Universitária da UFRPE")</f>
        <v>Editora Universitária da UFRPE</v>
      </c>
      <c r="E30" s="25">
        <f>IFERROR(__xludf.DUMMYFUNCTION("""COMPUTED_VALUE"""),2016.0)</f>
        <v>2016</v>
      </c>
      <c r="F30" s="24" t="str">
        <f>IFERROR(__xludf.DUMMYFUNCTION("""COMPUTED_VALUE"""),"Sustentabilidade; Gestão ambiental; Meio ambiente")</f>
        <v>Sustentabilidade; Gestão ambiental; Meio ambiente</v>
      </c>
      <c r="G30" s="28" t="str">
        <f>IFERROR(__xludf.DUMMYFUNCTION("""COMPUTED_VALUE"""),"9788579461651")</f>
        <v>9788579461651</v>
      </c>
      <c r="H30" s="27" t="str">
        <f>IFERROR(__xludf.DUMMYFUNCTION("""COMPUTED_VALUE"""),"https://www.dropbox.com/s/2ajqmd5hg9oxaw9/ebook%202016%20-%20Epersol%202015%20-%20Gesta%20ambiental%20-%20final.pdf?dl=0")</f>
        <v>https://www.dropbox.com/s/2ajqmd5hg9oxaw9/ebook%202016%20-%20Epersol%202015%20-%20Gesta%20ambiental%20-%20final.pdf?dl=0</v>
      </c>
      <c r="I30" s="24" t="str">
        <f>IFERROR(__xludf.DUMMYFUNCTION("""COMPUTED_VALUE"""),"Engenharias")</f>
        <v>Engenharias</v>
      </c>
    </row>
    <row r="31">
      <c r="A31" s="24" t="str">
        <f>IFERROR(__xludf.DUMMYFUNCTION("""COMPUTED_VALUE"""),"Resíduos sólidos: tecnologias e boas práticas de economia circular")</f>
        <v>Resíduos sólidos: tecnologias e boas práticas de economia circular</v>
      </c>
      <c r="B31" s="24" t="str">
        <f>IFERROR(__xludf.DUMMYFUNCTION("""COMPUTED_VALUE"""),"Rodrigo Cândido Passos da Silva, João Paulo de Oliveira Santos, Daniel Pernambucano de Mello, Soraya Giovanetti El-Deir (org.)")</f>
        <v>Rodrigo Cândido Passos da Silva, João Paulo de Oliveira Santos, Daniel Pernambucano de Mello, Soraya Giovanetti El-Deir (org.)</v>
      </c>
      <c r="C31" s="24" t="str">
        <f>IFERROR(__xludf.DUMMYFUNCTION("""COMPUTED_VALUE"""),"Recife")</f>
        <v>Recife</v>
      </c>
      <c r="D31" s="24" t="str">
        <f>IFERROR(__xludf.DUMMYFUNCTION("""COMPUTED_VALUE"""),"Editora Universitária da UFRPE")</f>
        <v>Editora Universitária da UFRPE</v>
      </c>
      <c r="E31" s="25">
        <f>IFERROR(__xludf.DUMMYFUNCTION("""COMPUTED_VALUE"""),2018.0)</f>
        <v>2018</v>
      </c>
      <c r="F31" s="24" t="str">
        <f>IFERROR(__xludf.DUMMYFUNCTION("""COMPUTED_VALUE"""),"Sustentabilidade; Educação ambiental; Técnicas; Recuperação energética")</f>
        <v>Sustentabilidade; Educação ambiental; Técnicas; Recuperação energética</v>
      </c>
      <c r="G31" s="28" t="str">
        <f>IFERROR(__xludf.DUMMYFUNCTION("""COMPUTED_VALUE"""),"9788579463143")</f>
        <v>9788579463143</v>
      </c>
      <c r="H31" s="27" t="str">
        <f>IFERROR(__xludf.DUMMYFUNCTION("""COMPUTED_VALUE"""),"https://www.dropbox.com/s/wp06pini2mzr1jv/ebook_Tecnologias_e_Boas_Praticas.pdf?dl=0")</f>
        <v>https://www.dropbox.com/s/wp06pini2mzr1jv/ebook_Tecnologias_e_Boas_Praticas.pdf?dl=0</v>
      </c>
      <c r="I31" s="24" t="str">
        <f>IFERROR(__xludf.DUMMYFUNCTION("""COMPUTED_VALUE"""),"Engenharias")</f>
        <v>Engenharias</v>
      </c>
    </row>
    <row r="32">
      <c r="A32" s="24" t="str">
        <f>IFERROR(__xludf.DUMMYFUNCTION("""COMPUTED_VALUE"""),"Resíduos sólidos: tecnologias limpas e boas práticas")</f>
        <v>Resíduos sólidos: tecnologias limpas e boas práticas</v>
      </c>
      <c r="B32" s="24" t="str">
        <f>IFERROR(__xludf.DUMMYFUNCTION("""COMPUTED_VALUE"""),"Soraya Giovanetti El-Deir e Elisângela da Silva Guimarães (org.)")</f>
        <v>Soraya Giovanetti El-Deir e Elisângela da Silva Guimarães (org.)</v>
      </c>
      <c r="C32" s="24" t="str">
        <f>IFERROR(__xludf.DUMMYFUNCTION("""COMPUTED_VALUE"""),"Recife")</f>
        <v>Recife</v>
      </c>
      <c r="D32" s="24" t="str">
        <f>IFERROR(__xludf.DUMMYFUNCTION("""COMPUTED_VALUE"""),"Editora Universitária da UFRPE")</f>
        <v>Editora Universitária da UFRPE</v>
      </c>
      <c r="E32" s="25">
        <f>IFERROR(__xludf.DUMMYFUNCTION("""COMPUTED_VALUE"""),2016.0)</f>
        <v>2016</v>
      </c>
      <c r="F32" s="24" t="str">
        <f>IFERROR(__xludf.DUMMYFUNCTION("""COMPUTED_VALUE"""),"Educação ambiental; Política; Gestão integrada")</f>
        <v>Educação ambiental; Política; Gestão integrada</v>
      </c>
      <c r="G32" s="28" t="str">
        <f>IFERROR(__xludf.DUMMYFUNCTION("""COMPUTED_VALUE"""),"9788579461965")</f>
        <v>9788579461965</v>
      </c>
      <c r="H32" s="27" t="str">
        <f>IFERROR(__xludf.DUMMYFUNCTION("""COMPUTED_VALUE"""),"https://www.dropbox.com/s/q5ltcltbf15khbl/ebook_residuos_solidos_2015.pdf?dl=0")</f>
        <v>https://www.dropbox.com/s/q5ltcltbf15khbl/ebook_residuos_solidos_2015.pdf?dl=0</v>
      </c>
      <c r="I32" s="24" t="str">
        <f>IFERROR(__xludf.DUMMYFUNCTION("""COMPUTED_VALUE"""),"Engenharias")</f>
        <v>Engenharias</v>
      </c>
    </row>
    <row r="33">
      <c r="A33" s="24" t="str">
        <f>IFERROR(__xludf.DUMMYFUNCTION("""COMPUTED_VALUE"""),"Roteiro de aulas práticas da disciplina de análise de alimentos ")</f>
        <v>Roteiro de aulas práticas da disciplina de análise de alimentos </v>
      </c>
      <c r="B33" s="24" t="str">
        <f>IFERROR(__xludf.DUMMYFUNCTION("""COMPUTED_VALUE"""),"Eliana Janet Sanjinez Argandoña ... (et al.)")</f>
        <v>Eliana Janet Sanjinez Argandoña ... (et al.)</v>
      </c>
      <c r="C33" s="24" t="str">
        <f>IFERROR(__xludf.DUMMYFUNCTION("""COMPUTED_VALUE"""),"Dourados, MS")</f>
        <v>Dourados, MS</v>
      </c>
      <c r="D33" s="24" t="str">
        <f>IFERROR(__xludf.DUMMYFUNCTION("""COMPUTED_VALUE"""),"Ed. da UFGD")</f>
        <v>Ed. da UFGD</v>
      </c>
      <c r="E33" s="25">
        <f>IFERROR(__xludf.DUMMYFUNCTION("""COMPUTED_VALUE"""),2017.0)</f>
        <v>2017</v>
      </c>
      <c r="F33" s="24" t="str">
        <f>IFERROR(__xludf.DUMMYFUNCTION("""COMPUTED_VALUE"""),"Composição de alimentos; Manuais de laboratórios; Bromatologia")</f>
        <v>Composição de alimentos; Manuais de laboratórios; Bromatologia</v>
      </c>
      <c r="G33" s="28" t="str">
        <f>IFERROR(__xludf.DUMMYFUNCTION("""COMPUTED_VALUE"""),"9788581471105")</f>
        <v>9788581471105</v>
      </c>
      <c r="H33" s="27" t="str">
        <f>IFERROR(__xludf.DUMMYFUNCTION("""COMPUTED_VALUE"""),"http://omp.ufgd.edu.br/omp/index.php/livrosabertos/catalog/view/230/110/387-1")</f>
        <v>http://omp.ufgd.edu.br/omp/index.php/livrosabertos/catalog/view/230/110/387-1</v>
      </c>
      <c r="I33" s="24" t="str">
        <f>IFERROR(__xludf.DUMMYFUNCTION("""COMPUTED_VALUE"""),"Engenharias")</f>
        <v>Engenharias</v>
      </c>
    </row>
    <row r="34">
      <c r="A34" s="24" t="str">
        <f>IFERROR(__xludf.DUMMYFUNCTION("""COMPUTED_VALUE"""),"Sensor Colorimétrico, Impresso e Indicativo de Altas Intensidades de Radiação Solar à Base de Polímeros Luminescentes")</f>
        <v>Sensor Colorimétrico, Impresso e Indicativo de Altas Intensidades de Radiação Solar à Base de Polímeros Luminescentes</v>
      </c>
      <c r="B34" s="24" t="str">
        <f>IFERROR(__xludf.DUMMYFUNCTION("""COMPUTED_VALUE"""),"Kennedy Carlos Silva Corrêa")</f>
        <v>Kennedy Carlos Silva Corrêa</v>
      </c>
      <c r="C34" s="24" t="str">
        <f>IFERROR(__xludf.DUMMYFUNCTION("""COMPUTED_VALUE"""),"Ouro Preto")</f>
        <v>Ouro Preto</v>
      </c>
      <c r="D34" s="24" t="str">
        <f>IFERROR(__xludf.DUMMYFUNCTION("""COMPUTED_VALUE"""),"UFOP")</f>
        <v>UFOP</v>
      </c>
      <c r="E34" s="25">
        <f>IFERROR(__xludf.DUMMYFUNCTION("""COMPUTED_VALUE"""),2019.0)</f>
        <v>2019</v>
      </c>
      <c r="F34" s="24" t="str">
        <f>IFERROR(__xludf.DUMMYFUNCTION("""COMPUTED_VALUE"""),"Polímeros. Radiação - Dosimetria. Luminescência. Física – Estudo e ensino")</f>
        <v>Polímeros. Radiação - Dosimetria. Luminescência. Física – Estudo e ensino</v>
      </c>
      <c r="G34" s="28" t="str">
        <f>IFERROR(__xludf.DUMMYFUNCTION("""COMPUTED_VALUE"""),"9788528803716")</f>
        <v>9788528803716</v>
      </c>
      <c r="H34" s="27" t="str">
        <f>IFERROR(__xludf.DUMMYFUNCTION("""COMPUTED_VALUE"""),"https://www.editora.ufop.br/index.php/editora/catalog/view/161/128/423-1")</f>
        <v>https://www.editora.ufop.br/index.php/editora/catalog/view/161/128/423-1</v>
      </c>
      <c r="I34" s="24" t="str">
        <f>IFERROR(__xludf.DUMMYFUNCTION("""COMPUTED_VALUE"""),"Engenharias")</f>
        <v>Engenharias</v>
      </c>
    </row>
    <row r="35">
      <c r="A35" s="24" t="str">
        <f>IFERROR(__xludf.DUMMYFUNCTION("""COMPUTED_VALUE"""),"Sistema de Tratamento de Esgoto modelo Bacia de Evapotranspiração (BET)")</f>
        <v>Sistema de Tratamento de Esgoto modelo Bacia de Evapotranspiração (BET)</v>
      </c>
      <c r="B35" s="24" t="str">
        <f>IFERROR(__xludf.DUMMYFUNCTION("""COMPUTED_VALUE"""),"Jefferson de Queiroz Crispim; Tiago Vinicius Silva Athaydes; Luciano Zanetti Pessôa Candiotto; Fernando Henrique Villwock; Sandra Terezinha Malysz; José Antônio da Rocha")</f>
        <v>Jefferson de Queiroz Crispim; Tiago Vinicius Silva Athaydes; Luciano Zanetti Pessôa Candiotto; Fernando Henrique Villwock; Sandra Terezinha Malysz; José Antônio da Rocha</v>
      </c>
      <c r="C35" s="24" t="str">
        <f>IFERROR(__xludf.DUMMYFUNCTION("""COMPUTED_VALUE"""),"Campo Mourão, PR")</f>
        <v>Campo Mourão, PR</v>
      </c>
      <c r="D35" s="24" t="str">
        <f>IFERROR(__xludf.DUMMYFUNCTION("""COMPUTED_VALUE"""),"Editora Fecilcam")</f>
        <v>Editora Fecilcam</v>
      </c>
      <c r="E35" s="25">
        <f>IFERROR(__xludf.DUMMYFUNCTION("""COMPUTED_VALUE"""),2019.0)</f>
        <v>2019</v>
      </c>
      <c r="F35" s="24" t="str">
        <f>IFERROR(__xludf.DUMMYFUNCTION("""COMPUTED_VALUE"""),"Tratamento de esgoto. Efluentes domésticos. Preservação ambiental. Pesquisa científica")</f>
        <v>Tratamento de esgoto. Efluentes domésticos. Preservação ambiental. Pesquisa científica</v>
      </c>
      <c r="G35" s="28" t="str">
        <f>IFERROR(__xludf.DUMMYFUNCTION("""COMPUTED_VALUE"""),"9788588753518")</f>
        <v>9788588753518</v>
      </c>
      <c r="H35" s="27" t="str">
        <f>IFERROR(__xludf.DUMMYFUNCTION("""COMPUTED_VALUE"""),"http://campomourao.unespar.edu.br/editora/obras-digitais/sistema-de-tratamento-de-esgoto-modelo-bacia-de-evapotranspiracao-bet")</f>
        <v>http://campomourao.unespar.edu.br/editora/obras-digitais/sistema-de-tratamento-de-esgoto-modelo-bacia-de-evapotranspiracao-bet</v>
      </c>
      <c r="I35" s="24" t="str">
        <f>IFERROR(__xludf.DUMMYFUNCTION("""COMPUTED_VALUE"""),"Engenharias")</f>
        <v>Engenharias</v>
      </c>
    </row>
    <row r="36">
      <c r="A36" s="24" t="str">
        <f>IFERROR(__xludf.DUMMYFUNCTION("""COMPUTED_VALUE"""),"Soluções em engenharia de produção: volume 1 ")</f>
        <v>Soluções em engenharia de produção: volume 1 </v>
      </c>
      <c r="B36" s="24" t="str">
        <f>IFERROR(__xludf.DUMMYFUNCTION("""COMPUTED_VALUE"""),"Organização de André; Cristiano Silva Melo e Denilson Ricardo de Lucena Nunes")</f>
        <v>Organização de André; Cristiano Silva Melo e Denilson Ricardo de Lucena Nunes</v>
      </c>
      <c r="C36" s="24" t="str">
        <f>IFERROR(__xludf.DUMMYFUNCTION("""COMPUTED_VALUE"""),"Belém")</f>
        <v>Belém</v>
      </c>
      <c r="D36" s="24" t="str">
        <f>IFERROR(__xludf.DUMMYFUNCTION("""COMPUTED_VALUE"""),"UEPA")</f>
        <v>UEPA</v>
      </c>
      <c r="E36" s="25">
        <f>IFERROR(__xludf.DUMMYFUNCTION("""COMPUTED_VALUE"""),2017.0)</f>
        <v>2017</v>
      </c>
      <c r="F36" s="24" t="str">
        <f>IFERROR(__xludf.DUMMYFUNCTION("""COMPUTED_VALUE"""),"Engenharia de produção; Logística; Gestão da qualidade")</f>
        <v>Engenharia de produção; Logística; Gestão da qualidade</v>
      </c>
      <c r="G36" s="28" t="str">
        <f>IFERROR(__xludf.DUMMYFUNCTION("""COMPUTED_VALUE"""),"9788584580248")</f>
        <v>9788584580248</v>
      </c>
      <c r="H36" s="27" t="str">
        <f>IFERROR(__xludf.DUMMYFUNCTION("""COMPUTED_VALUE"""),"https://paginas.uepa.br/eduepa/wp-content/uploads/2019/06/ENGENHARIA-DE-PRODU%C3%87%C3%83O-V1-05-07-2018.pdf")</f>
        <v>https://paginas.uepa.br/eduepa/wp-content/uploads/2019/06/ENGENHARIA-DE-PRODU%C3%87%C3%83O-V1-05-07-2018.pdf</v>
      </c>
      <c r="I36" s="24" t="str">
        <f>IFERROR(__xludf.DUMMYFUNCTION("""COMPUTED_VALUE"""),"Engenharias")</f>
        <v>Engenharias</v>
      </c>
    </row>
    <row r="37">
      <c r="A37" s="24" t="str">
        <f>IFERROR(__xludf.DUMMYFUNCTION("""COMPUTED_VALUE"""),"Soluções em engenharia de produção: volume 2")</f>
        <v>Soluções em engenharia de produção: volume 2</v>
      </c>
      <c r="B37" s="24" t="str">
        <f>IFERROR(__xludf.DUMMYFUNCTION("""COMPUTED_VALUE"""),"Organização de André; Cristiano Silva Melo e Denilson Ricardo de Lucena Nunes")</f>
        <v>Organização de André; Cristiano Silva Melo e Denilson Ricardo de Lucena Nunes</v>
      </c>
      <c r="C37" s="24" t="str">
        <f>IFERROR(__xludf.DUMMYFUNCTION("""COMPUTED_VALUE"""),"Belém")</f>
        <v>Belém</v>
      </c>
      <c r="D37" s="24" t="str">
        <f>IFERROR(__xludf.DUMMYFUNCTION("""COMPUTED_VALUE"""),"UEPA")</f>
        <v>UEPA</v>
      </c>
      <c r="E37" s="25">
        <f>IFERROR(__xludf.DUMMYFUNCTION("""COMPUTED_VALUE"""),2017.0)</f>
        <v>2017</v>
      </c>
      <c r="F37" s="24" t="str">
        <f>IFERROR(__xludf.DUMMYFUNCTION("""COMPUTED_VALUE"""),"Engenharia de produção; Logística; Gestão da qualidade")</f>
        <v>Engenharia de produção; Logística; Gestão da qualidade</v>
      </c>
      <c r="G37" s="28" t="str">
        <f>IFERROR(__xludf.DUMMYFUNCTION("""COMPUTED_VALUE"""),"9788584580255")</f>
        <v>9788584580255</v>
      </c>
      <c r="H37" s="27" t="str">
        <f>IFERROR(__xludf.DUMMYFUNCTION("""COMPUTED_VALUE"""),"https://paginas.uepa.br/eduepa/wp-content/uploads/2019/06/ENGENHARIA-DE-PRODU%C3%87%C3%83O-VOL-2.pdf")</f>
        <v>https://paginas.uepa.br/eduepa/wp-content/uploads/2019/06/ENGENHARIA-DE-PRODU%C3%87%C3%83O-VOL-2.pdf</v>
      </c>
      <c r="I37" s="24" t="str">
        <f>IFERROR(__xludf.DUMMYFUNCTION("""COMPUTED_VALUE"""),"Engenharias")</f>
        <v>Engenharias</v>
      </c>
    </row>
    <row r="38">
      <c r="A38" s="24" t="str">
        <f>IFERROR(__xludf.DUMMYFUNCTION("""COMPUTED_VALUE"""),"Tecnologia de fabricação de revestimentos cerâmicos")</f>
        <v>Tecnologia de fabricação de revestimentos cerâmicos</v>
      </c>
      <c r="B38" s="24" t="str">
        <f>IFERROR(__xludf.DUMMYFUNCTION("""COMPUTED_VALUE"""),"Oliveira, Antonio Pedro Novaes de; Hotza, Dachamir")</f>
        <v>Oliveira, Antonio Pedro Novaes de; Hotza, Dachamir</v>
      </c>
      <c r="C38" s="24" t="str">
        <f>IFERROR(__xludf.DUMMYFUNCTION("""COMPUTED_VALUE"""),"Florianópolis")</f>
        <v>Florianópolis</v>
      </c>
      <c r="D38" s="24" t="str">
        <f>IFERROR(__xludf.DUMMYFUNCTION("""COMPUTED_VALUE"""),"Editora da UFSC")</f>
        <v>Editora da UFSC</v>
      </c>
      <c r="E38" s="25">
        <f>IFERROR(__xludf.DUMMYFUNCTION("""COMPUTED_VALUE"""),2015.0)</f>
        <v>2015</v>
      </c>
      <c r="F38" s="24" t="str">
        <f>IFERROR(__xludf.DUMMYFUNCTION("""COMPUTED_VALUE"""),"Cerâmica;Tecnologia;Revestimento cerâmico;Processos de fabricação")</f>
        <v>Cerâmica;Tecnologia;Revestimento cerâmico;Processos de fabricação</v>
      </c>
      <c r="G38" s="28" t="str">
        <f>IFERROR(__xludf.DUMMYFUNCTION("""COMPUTED_VALUE"""),"9788532807106")</f>
        <v>9788532807106</v>
      </c>
      <c r="H38" s="27" t="str">
        <f>IFERROR(__xludf.DUMMYFUNCTION("""COMPUTED_VALUE"""),"https://repositorio.ufsc.br/handle/123456789/187929")</f>
        <v>https://repositorio.ufsc.br/handle/123456789/187929</v>
      </c>
      <c r="I38" s="24" t="str">
        <f>IFERROR(__xludf.DUMMYFUNCTION("""COMPUTED_VALUE"""),"Engenharias")</f>
        <v>Engenharias</v>
      </c>
    </row>
    <row r="39">
      <c r="A39" s="24" t="str">
        <f>IFERROR(__xludf.DUMMYFUNCTION("""COMPUTED_VALUE"""),"Transmissão de Energia Elétrica em Corrente Alternada")</f>
        <v>Transmissão de Energia Elétrica em Corrente Alternada</v>
      </c>
      <c r="B39" s="24" t="str">
        <f>IFERROR(__xludf.DUMMYFUNCTION("""COMPUTED_VALUE"""),"Ailson P. de Moura; Adriano Aron F. de Moura; Ednardo P. da Rocha")</f>
        <v>Ailson P. de Moura; Adriano Aron F. de Moura; Ednardo P. da Rocha</v>
      </c>
      <c r="C39" s="24" t="str">
        <f>IFERROR(__xludf.DUMMYFUNCTION("""COMPUTED_VALUE"""),"Fortaleza, CE")</f>
        <v>Fortaleza, CE</v>
      </c>
      <c r="D39" s="24" t="str">
        <f>IFERROR(__xludf.DUMMYFUNCTION("""COMPUTED_VALUE"""),"Edições UFC")</f>
        <v>Edições UFC</v>
      </c>
      <c r="E39" s="25">
        <f>IFERROR(__xludf.DUMMYFUNCTION("""COMPUTED_VALUE"""),2019.0)</f>
        <v>2019</v>
      </c>
      <c r="F39" s="24" t="str">
        <f>IFERROR(__xludf.DUMMYFUNCTION("""COMPUTED_VALUE"""),"Corrente alternada. Energia elétrica. Transmissão")</f>
        <v>Corrente alternada. Energia elétrica. Transmissão</v>
      </c>
      <c r="G39" s="28" t="str">
        <f>IFERROR(__xludf.DUMMYFUNCTION("""COMPUTED_VALUE"""),"9788572827621")</f>
        <v>9788572827621</v>
      </c>
      <c r="H39" s="27" t="str">
        <f>IFERROR(__xludf.DUMMYFUNCTION("""COMPUTED_VALUE"""),"http://www.editora.ufc.br/catalogo/76-engenharia-eletrica/979-transmissao-de-energia-eletrica-em-corrente-alternada")</f>
        <v>http://www.editora.ufc.br/catalogo/76-engenharia-eletrica/979-transmissao-de-energia-eletrica-em-corrente-alternada</v>
      </c>
      <c r="I39" s="24" t="str">
        <f>IFERROR(__xludf.DUMMYFUNCTION("""COMPUTED_VALUE"""),"Engenharias")</f>
        <v>Engenharias</v>
      </c>
    </row>
    <row r="40">
      <c r="A40" s="24" t="str">
        <f>IFERROR(__xludf.DUMMYFUNCTION("""COMPUTED_VALUE"""),"Transportes e formação regional: contribuições à história dos transportes no Brasil ")</f>
        <v>Transportes e formação regional: contribuições à história dos transportes no Brasil </v>
      </c>
      <c r="B40" s="24" t="str">
        <f>IFERROR(__xludf.DUMMYFUNCTION("""COMPUTED_VALUE"""),"Alcides Goularti Filho, Paulo Roberto Cimó Queiroz (org.)")</f>
        <v>Alcides Goularti Filho, Paulo Roberto Cimó Queiroz (org.)</v>
      </c>
      <c r="C40" s="24" t="str">
        <f>IFERROR(__xludf.DUMMYFUNCTION("""COMPUTED_VALUE"""),"Dourados, MS")</f>
        <v>Dourados, MS</v>
      </c>
      <c r="D40" s="24" t="str">
        <f>IFERROR(__xludf.DUMMYFUNCTION("""COMPUTED_VALUE"""),"Ed. da UFGD")</f>
        <v>Ed. da UFGD</v>
      </c>
      <c r="E40" s="25">
        <f>IFERROR(__xludf.DUMMYFUNCTION("""COMPUTED_VALUE"""),2011.0)</f>
        <v>2011</v>
      </c>
      <c r="F40" s="24" t="str">
        <f>IFERROR(__xludf.DUMMYFUNCTION("""COMPUTED_VALUE"""),"Transportes terrestres – Brasil; Transportes terrestres – Desenvolvimento econômico")</f>
        <v>Transportes terrestres – Brasil; Transportes terrestres – Desenvolvimento econômico</v>
      </c>
      <c r="G40" s="28" t="str">
        <f>IFERROR(__xludf.DUMMYFUNCTION("""COMPUTED_VALUE"""),"9788561228903")</f>
        <v>9788561228903</v>
      </c>
      <c r="H40" s="27" t="str">
        <f>IFERROR(__xludf.DUMMYFUNCTION("""COMPUTED_VALUE"""),"http://omp.ufgd.edu.br/omp/index.php/livrosabertos/catalog/view/24/22/70-1")</f>
        <v>http://omp.ufgd.edu.br/omp/index.php/livrosabertos/catalog/view/24/22/70-1</v>
      </c>
      <c r="I40" s="24" t="str">
        <f>IFERROR(__xludf.DUMMYFUNCTION("""COMPUTED_VALUE"""),"Engenharias")</f>
        <v>Engenharias</v>
      </c>
    </row>
    <row r="41">
      <c r="A41" s="24" t="str">
        <f>IFERROR(__xludf.DUMMYFUNCTION("""COMPUTED_VALUE"""),"Valoração ambiental pela metodologia emergética:subsídios às políticas públicas no Brasil")</f>
        <v>Valoração ambiental pela metodologia emergética:subsídios às políticas públicas no Brasil</v>
      </c>
      <c r="B41" s="24" t="str">
        <f>IFERROR(__xludf.DUMMYFUNCTION("""COMPUTED_VALUE"""),"Vito Comar")</f>
        <v>Vito Comar</v>
      </c>
      <c r="C41" s="24" t="str">
        <f>IFERROR(__xludf.DUMMYFUNCTION("""COMPUTED_VALUE"""),"Dourados, MS")</f>
        <v>Dourados, MS</v>
      </c>
      <c r="D41" s="24" t="str">
        <f>IFERROR(__xludf.DUMMYFUNCTION("""COMPUTED_VALUE"""),"Ed. da UFGD")</f>
        <v>Ed. da UFGD</v>
      </c>
      <c r="E41" s="25">
        <f>IFERROR(__xludf.DUMMYFUNCTION("""COMPUTED_VALUE"""),2017.0)</f>
        <v>2017</v>
      </c>
      <c r="F41" s="24" t="str">
        <f>IFERROR(__xludf.DUMMYFUNCTION("""COMPUTED_VALUE"""),"Metodologia emergética; Contabilidade ambiental;Gestão ambiental; Engenharia ecológica; Políticas públicas")</f>
        <v>Metodologia emergética; Contabilidade ambiental;Gestão ambiental; Engenharia ecológica; Políticas públicas</v>
      </c>
      <c r="G41" s="28" t="str">
        <f>IFERROR(__xludf.DUMMYFUNCTION("""COMPUTED_VALUE"""),"9788581471358")</f>
        <v>9788581471358</v>
      </c>
      <c r="H41" s="27" t="str">
        <f>IFERROR(__xludf.DUMMYFUNCTION("""COMPUTED_VALUE"""),"http://omp.ufgd.edu.br/omp/index.php/livrosabertos/catalog/view/15/14/48-2")</f>
        <v>http://omp.ufgd.edu.br/omp/index.php/livrosabertos/catalog/view/15/14/48-2</v>
      </c>
      <c r="I41" s="24" t="str">
        <f>IFERROR(__xludf.DUMMYFUNCTION("""COMPUTED_VALUE"""),"Engenharias")</f>
        <v>Engenharias</v>
      </c>
    </row>
  </sheetData>
  <hyperlinks>
    <hyperlink r:id="rId1" ref="H2"/>
    <hyperlink r:id="rId2" ref="H3"/>
    <hyperlink r:id="rId3" ref="H4"/>
    <hyperlink r:id="rId4" ref="H5"/>
    <hyperlink r:id="rId5" ref="H6"/>
    <hyperlink r:id="rId6" ref="H7"/>
    <hyperlink r:id="rId7" ref="H8"/>
    <hyperlink r:id="rId8" ref="H9"/>
    <hyperlink r:id="rId9" ref="H10"/>
    <hyperlink r:id="rId10" location="038;masterkey=5dd43db6e7dc1"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s>
  <drawing r:id="rId41"/>
  <tableParts count="1">
    <tablePart r:id="rId43"/>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45.86"/>
    <col customWidth="1" min="2" max="2" width="31.0"/>
    <col customWidth="1" min="3" max="3" width="13.86"/>
    <col customWidth="1" min="4" max="4" width="12.43"/>
    <col customWidth="1" min="5" max="5" width="7.57"/>
    <col customWidth="1" min="6" max="6" width="32.57"/>
    <col customWidth="1" min="7" max="7" width="15.0"/>
    <col customWidth="1" min="8" max="8" width="28.14"/>
    <col customWidth="1" hidden="1" min="9" max="9" width="24.0"/>
  </cols>
  <sheetData>
    <row r="1">
      <c r="A1" s="19" t="s">
        <v>23</v>
      </c>
      <c r="B1" s="20" t="s">
        <v>24</v>
      </c>
      <c r="C1" s="20" t="s">
        <v>25</v>
      </c>
      <c r="D1" s="20" t="s">
        <v>26</v>
      </c>
      <c r="E1" s="21" t="s">
        <v>27</v>
      </c>
      <c r="F1" s="20" t="s">
        <v>28</v>
      </c>
      <c r="G1" s="20" t="s">
        <v>29</v>
      </c>
      <c r="H1" s="23" t="s">
        <v>30</v>
      </c>
      <c r="I1" s="20" t="s">
        <v>31</v>
      </c>
    </row>
    <row r="2">
      <c r="A2" s="24" t="str">
        <f>IFERROR(__xludf.DUMMYFUNCTION("IMPORTRANGE(""https://docs.google.com/spreadsheets/d/13YtZlkEQw4W38VCdbK3PbAk4uf6r7LAkUEaRwo0J7Jo/edit#gid=291977917"",""PlanilhaUnificada!B1876:J2351"")"),"1º MEL: memórias, ensino, linguagem")</f>
        <v>1º MEL: memórias, ensino, linguagem</v>
      </c>
      <c r="B2" s="24" t="str">
        <f>IFERROR(__xludf.DUMMYFUNCTION("""COMPUTED_VALUE"""),"Maria Vilani Soares; Verônica Mendes Melo (org.)")</f>
        <v>Maria Vilani Soares; Verônica Mendes Melo (org.)</v>
      </c>
      <c r="C2" s="24" t="str">
        <f>IFERROR(__xludf.DUMMYFUNCTION("""COMPUTED_VALUE"""),"Teresina")</f>
        <v>Teresina</v>
      </c>
      <c r="D2" s="24" t="str">
        <f>IFERROR(__xludf.DUMMYFUNCTION("""COMPUTED_VALUE"""),"EDUFPI")</f>
        <v>EDUFPI</v>
      </c>
      <c r="E2" s="25">
        <f>IFERROR(__xludf.DUMMYFUNCTION("""COMPUTED_VALUE"""),2014.0)</f>
        <v>2014</v>
      </c>
      <c r="F2" s="24" t="str">
        <f>IFERROR(__xludf.DUMMYFUNCTION("""COMPUTED_VALUE"""),"Formação de Professores; Estudos da Linguagem; Ensino")</f>
        <v>Formação de Professores; Estudos da Linguagem; Ensino</v>
      </c>
      <c r="G2" s="28" t="str">
        <f>IFERROR(__xludf.DUMMYFUNCTION("""COMPUTED_VALUE"""),"9788574638430")</f>
        <v>9788574638430</v>
      </c>
      <c r="H2" s="27" t="str">
        <f>IFERROR(__xludf.DUMMYFUNCTION("""COMPUTED_VALUE"""),"https://www.ufpi.br/arquivos_download/arquivos/EDUFPI/1_MEL.pdf")</f>
        <v>https://www.ufpi.br/arquivos_download/arquivos/EDUFPI/1_MEL.pdf</v>
      </c>
      <c r="I2" s="24" t="str">
        <f>IFERROR(__xludf.DUMMYFUNCTION("""COMPUTED_VALUE"""),"Lingüística Letras e Artes")</f>
        <v>Lingüística Letras e Artes</v>
      </c>
    </row>
    <row r="3">
      <c r="A3" s="24" t="str">
        <f>IFERROR(__xludf.DUMMYFUNCTION("""COMPUTED_VALUE"""),"20 anos em cena: Núcleo de Teatro da UFPel")</f>
        <v>20 anos em cena: Núcleo de Teatro da UFPel</v>
      </c>
      <c r="B3" s="24" t="str">
        <f>IFERROR(__xludf.DUMMYFUNCTION("""COMPUTED_VALUE"""),"Silva, Daniel Furtado Simões da")</f>
        <v>Silva, Daniel Furtado Simões da</v>
      </c>
      <c r="C3" s="24" t="str">
        <f>IFERROR(__xludf.DUMMYFUNCTION("""COMPUTED_VALUE"""),"Pelotas")</f>
        <v>Pelotas</v>
      </c>
      <c r="D3" s="24" t="str">
        <f>IFERROR(__xludf.DUMMYFUNCTION("""COMPUTED_VALUE"""),"UFPel")</f>
        <v>UFPel</v>
      </c>
      <c r="E3" s="25">
        <f>IFERROR(__xludf.DUMMYFUNCTION("""COMPUTED_VALUE"""),2017.0)</f>
        <v>2017</v>
      </c>
      <c r="F3" s="24" t="str">
        <f>IFERROR(__xludf.DUMMYFUNCTION("""COMPUTED_VALUE"""),"Teatro; UFPel; Núcleo de Teatro; História")</f>
        <v>Teatro; UFPel; Núcleo de Teatro; História</v>
      </c>
      <c r="G3" s="28" t="str">
        <f>IFERROR(__xludf.DUMMYFUNCTION("""COMPUTED_VALUE"""),"9788551700174")</f>
        <v>9788551700174</v>
      </c>
      <c r="H3" s="27" t="str">
        <f>IFERROR(__xludf.DUMMYFUNCTION("""COMPUTED_VALUE"""),"http://repositorio.ufpel.edu.br:8080/bitstream/prefix/3736/1/20%20ANOS%20EM%20CENA%20N%c3%9aCLEO%20DE%20TEATRO%20UFPel.pdf")</f>
        <v>http://repositorio.ufpel.edu.br:8080/bitstream/prefix/3736/1/20%20ANOS%20EM%20CENA%20N%c3%9aCLEO%20DE%20TEATRO%20UFPel.pdf</v>
      </c>
      <c r="I3" s="24" t="str">
        <f>IFERROR(__xludf.DUMMYFUNCTION("""COMPUTED_VALUE"""),"Lingüística Letras e Artes")</f>
        <v>Lingüística Letras e Artes</v>
      </c>
    </row>
    <row r="4">
      <c r="A4" s="24" t="str">
        <f>IFERROR(__xludf.DUMMYFUNCTION("""COMPUTED_VALUE"""),"2010: o ano que não acabou para Dourados")</f>
        <v>2010: o ano que não acabou para Dourados</v>
      </c>
      <c r="B4" s="24" t="str">
        <f>IFERROR(__xludf.DUMMYFUNCTION("""COMPUTED_VALUE"""),"Wilson Valentim Biasotto")</f>
        <v>Wilson Valentim Biasotto</v>
      </c>
      <c r="C4" s="24" t="str">
        <f>IFERROR(__xludf.DUMMYFUNCTION("""COMPUTED_VALUE"""),"Dourados, MS")</f>
        <v>Dourados, MS</v>
      </c>
      <c r="D4" s="24" t="str">
        <f>IFERROR(__xludf.DUMMYFUNCTION("""COMPUTED_VALUE"""),"Ed. UFGD")</f>
        <v>Ed. UFGD</v>
      </c>
      <c r="E4" s="25">
        <f>IFERROR(__xludf.DUMMYFUNCTION("""COMPUTED_VALUE"""),2017.0)</f>
        <v>2017</v>
      </c>
      <c r="F4" s="24" t="str">
        <f>IFERROR(__xludf.DUMMYFUNCTION("""COMPUTED_VALUE"""),"Crônicas; Política; Sociedade")</f>
        <v>Crônicas; Política; Sociedade</v>
      </c>
      <c r="G4" s="28" t="str">
        <f>IFERROR(__xludf.DUMMYFUNCTION("""COMPUTED_VALUE"""),"9788581471433")</f>
        <v>9788581471433</v>
      </c>
      <c r="H4" s="27" t="str">
        <f>IFERROR(__xludf.DUMMYFUNCTION("""COMPUTED_VALUE"""),"http://omp.ufgd.edu.br/omp/index.php/livrosabertos/catalog/view/65/69/237-1")</f>
        <v>http://omp.ufgd.edu.br/omp/index.php/livrosabertos/catalog/view/65/69/237-1</v>
      </c>
      <c r="I4" s="24" t="str">
        <f>IFERROR(__xludf.DUMMYFUNCTION("""COMPUTED_VALUE"""),"Lingüística Letras e Artes")</f>
        <v>Lingüística Letras e Artes</v>
      </c>
    </row>
    <row r="5">
      <c r="A5" s="24" t="str">
        <f>IFERROR(__xludf.DUMMYFUNCTION("""COMPUTED_VALUE"""),"40 anos Letras/FACALE/UFGD: percursos, memórias em tempos e espaço")</f>
        <v>40 anos Letras/FACALE/UFGD: percursos, memórias em tempos e espaço</v>
      </c>
      <c r="B5" s="24" t="str">
        <f>IFERROR(__xludf.DUMMYFUNCTION("""COMPUTED_VALUE"""),"Áurea Rita de Ávila Lima Ferreira; Maria das Dores Capitão Vigário Marchi (org.)")</f>
        <v>Áurea Rita de Ávila Lima Ferreira; Maria das Dores Capitão Vigário Marchi (org.)</v>
      </c>
      <c r="C5" s="24" t="str">
        <f>IFERROR(__xludf.DUMMYFUNCTION("""COMPUTED_VALUE"""),"Dourados, MS")</f>
        <v>Dourados, MS</v>
      </c>
      <c r="D5" s="24" t="str">
        <f>IFERROR(__xludf.DUMMYFUNCTION("""COMPUTED_VALUE"""),"Ed. UFGD")</f>
        <v>Ed. UFGD</v>
      </c>
      <c r="E5" s="25">
        <f>IFERROR(__xludf.DUMMYFUNCTION("""COMPUTED_VALUE"""),2012.0)</f>
        <v>2012</v>
      </c>
      <c r="F5" s="24" t="str">
        <f>IFERROR(__xludf.DUMMYFUNCTION("""COMPUTED_VALUE"""),"Curso de Letras (UFGD); Universidade Federal da Grande Dourados; Ensino superior")</f>
        <v>Curso de Letras (UFGD); Universidade Federal da Grande Dourados; Ensino superior</v>
      </c>
      <c r="G5" s="28" t="str">
        <f>IFERROR(__xludf.DUMMYFUNCTION("""COMPUTED_VALUE"""),"9788581470191")</f>
        <v>9788581470191</v>
      </c>
      <c r="H5" s="29" t="str">
        <f>IFERROR(__xludf.DUMMYFUNCTION("""COMPUTED_VALUE"""),"http://omp.ufgd.edu.br/omp/index.php/livrosabertos/catalog/view/1/1/28-1")</f>
        <v>http://omp.ufgd.edu.br/omp/index.php/livrosabertos/catalog/view/1/1/28-1</v>
      </c>
      <c r="I5" s="24" t="str">
        <f>IFERROR(__xludf.DUMMYFUNCTION("""COMPUTED_VALUE"""),"Lingüística Letras e Artes")</f>
        <v>Lingüística Letras e Artes</v>
      </c>
    </row>
    <row r="6">
      <c r="A6" s="24" t="str">
        <f>IFERROR(__xludf.DUMMYFUNCTION("""COMPUTED_VALUE"""),"A antropofagia na era da globalização")</f>
        <v>A antropofagia na era da globalização</v>
      </c>
      <c r="B6" s="24" t="str">
        <f>IFERROR(__xludf.DUMMYFUNCTION("""COMPUTED_VALUE"""),"Rachel Esteves Lima, Ana Lígia Leite e Aguiar (org.) ")</f>
        <v>Rachel Esteves Lima, Ana Lígia Leite e Aguiar (org.) </v>
      </c>
      <c r="C6" s="24" t="str">
        <f>IFERROR(__xludf.DUMMYFUNCTION("""COMPUTED_VALUE"""),"Salvador")</f>
        <v>Salvador</v>
      </c>
      <c r="D6" s="24" t="str">
        <f>IFERROR(__xludf.DUMMYFUNCTION("""COMPUTED_VALUE"""),"EDUFBA")</f>
        <v>EDUFBA</v>
      </c>
      <c r="E6" s="25">
        <f>IFERROR(__xludf.DUMMYFUNCTION("""COMPUTED_VALUE"""),2016.0)</f>
        <v>2016</v>
      </c>
      <c r="F6" s="24" t="str">
        <f>IFERROR(__xludf.DUMMYFUNCTION("""COMPUTED_VALUE"""),"Antropofagia na literatura; Literatura comparada; Literatura")</f>
        <v>Antropofagia na literatura; Literatura comparada; Literatura</v>
      </c>
      <c r="G6" s="28" t="str">
        <f>IFERROR(__xludf.DUMMYFUNCTION("""COMPUTED_VALUE"""),"9788523215736")</f>
        <v>9788523215736</v>
      </c>
      <c r="H6" s="27" t="str">
        <f>IFERROR(__xludf.DUMMYFUNCTION("""COMPUTED_VALUE"""),"https://repositorio.ufba.br/ri/handle/ri/21613")</f>
        <v>https://repositorio.ufba.br/ri/handle/ri/21613</v>
      </c>
      <c r="I6" s="24" t="str">
        <f>IFERROR(__xludf.DUMMYFUNCTION("""COMPUTED_VALUE"""),"Lingüística Letras e Artes")</f>
        <v>Lingüística Letras e Artes</v>
      </c>
    </row>
    <row r="7">
      <c r="A7" s="24" t="str">
        <f>IFERROR(__xludf.DUMMYFUNCTION("""COMPUTED_VALUE"""),"A aventura de um sapo na festa do céu ")</f>
        <v>A aventura de um sapo na festa do céu </v>
      </c>
      <c r="B7" s="24" t="str">
        <f>IFERROR(__xludf.DUMMYFUNCTION("""COMPUTED_VALUE"""),"Leônidas Azevedo Filho; ilustrações Bruno Santana. ")</f>
        <v>Leônidas Azevedo Filho; ilustrações Bruno Santana. </v>
      </c>
      <c r="C7" s="24" t="str">
        <f>IFERROR(__xludf.DUMMYFUNCTION("""COMPUTED_VALUE"""),"Ilhéus, BA")</f>
        <v>Ilhéus, BA</v>
      </c>
      <c r="D7" s="24" t="str">
        <f>IFERROR(__xludf.DUMMYFUNCTION("""COMPUTED_VALUE"""),"Editus")</f>
        <v>Editus</v>
      </c>
      <c r="E7" s="25">
        <f>IFERROR(__xludf.DUMMYFUNCTION("""COMPUTED_VALUE"""),2014.0)</f>
        <v>2014</v>
      </c>
      <c r="F7" s="24" t="str">
        <f>IFERROR(__xludf.DUMMYFUNCTION("""COMPUTED_VALUE"""),"Literatura Infantojuvenil")</f>
        <v>Literatura Infantojuvenil</v>
      </c>
      <c r="G7" s="28" t="str">
        <f>IFERROR(__xludf.DUMMYFUNCTION("""COMPUTED_VALUE"""),"9788574553627")</f>
        <v>9788574553627</v>
      </c>
      <c r="H7" s="27" t="str">
        <f>IFERROR(__xludf.DUMMYFUNCTION("""COMPUTED_VALUE"""),"http://www.uesc.br/editora/livrosdigitais2017/a_aventura_de_um_sapo.pdf")</f>
        <v>http://www.uesc.br/editora/livrosdigitais2017/a_aventura_de_um_sapo.pdf</v>
      </c>
      <c r="I7" s="24" t="str">
        <f>IFERROR(__xludf.DUMMYFUNCTION("""COMPUTED_VALUE"""),"Lingüística Letras e Artes")</f>
        <v>Lingüística Letras e Artes</v>
      </c>
    </row>
    <row r="8">
      <c r="A8" s="24" t="str">
        <f>IFERROR(__xludf.DUMMYFUNCTION("""COMPUTED_VALUE"""),"A casa verde = The green house")</f>
        <v>A casa verde = The green house</v>
      </c>
      <c r="B8" s="24" t="str">
        <f>IFERROR(__xludf.DUMMYFUNCTION("""COMPUTED_VALUE"""),"Cyro de Mattos")</f>
        <v>Cyro de Mattos</v>
      </c>
      <c r="C8" s="24" t="str">
        <f>IFERROR(__xludf.DUMMYFUNCTION("""COMPUTED_VALUE"""),"Ilhéus, BA")</f>
        <v>Ilhéus, BA</v>
      </c>
      <c r="D8" s="24" t="str">
        <f>IFERROR(__xludf.DUMMYFUNCTION("""COMPUTED_VALUE"""),"Editus")</f>
        <v>Editus</v>
      </c>
      <c r="E8" s="25">
        <f>IFERROR(__xludf.DUMMYFUNCTION("""COMPUTED_VALUE"""),2004.0)</f>
        <v>2004</v>
      </c>
      <c r="F8" s="24" t="str">
        <f>IFERROR(__xludf.DUMMYFUNCTION("""COMPUTED_VALUE"""),"Literatura brasileira; Poesia brasileira")</f>
        <v>Literatura brasileira; Poesia brasileira</v>
      </c>
      <c r="G8" s="26"/>
      <c r="H8" s="29" t="str">
        <f>IFERROR(__xludf.DUMMYFUNCTION("""COMPUTED_VALUE"""),"http://www.uesc.br/editora/livrosdigitais2015/a_casa_verde.pdf")</f>
        <v>http://www.uesc.br/editora/livrosdigitais2015/a_casa_verde.pdf</v>
      </c>
      <c r="I8" s="24" t="str">
        <f>IFERROR(__xludf.DUMMYFUNCTION("""COMPUTED_VALUE"""),"Lingüística Letras e Artes")</f>
        <v>Lingüística Letras e Artes</v>
      </c>
    </row>
    <row r="9">
      <c r="A9" s="24" t="str">
        <f>IFERROR(__xludf.DUMMYFUNCTION("""COMPUTED_VALUE"""),"A casinha-que-anda em uma aventura inesquecível")</f>
        <v>A casinha-que-anda em uma aventura inesquecível</v>
      </c>
      <c r="B9" s="24" t="str">
        <f>IFERROR(__xludf.DUMMYFUNCTION("""COMPUTED_VALUE"""),"Tica Simões; ilustração George Pellegrini. ")</f>
        <v>Tica Simões; ilustração George Pellegrini. </v>
      </c>
      <c r="C9" s="24" t="str">
        <f>IFERROR(__xludf.DUMMYFUNCTION("""COMPUTED_VALUE"""),"Ilhéus, BA")</f>
        <v>Ilhéus, BA</v>
      </c>
      <c r="D9" s="24" t="str">
        <f>IFERROR(__xludf.DUMMYFUNCTION("""COMPUTED_VALUE"""),"Editus")</f>
        <v>Editus</v>
      </c>
      <c r="E9" s="25">
        <f>IFERROR(__xludf.DUMMYFUNCTION("""COMPUTED_VALUE"""),2010.0)</f>
        <v>2010</v>
      </c>
      <c r="F9" s="24" t="str">
        <f>IFERROR(__xludf.DUMMYFUNCTION("""COMPUTED_VALUE"""),"Literatura brasileira – Descrições de viagens")</f>
        <v>Literatura brasileira – Descrições de viagens</v>
      </c>
      <c r="G9" s="28" t="str">
        <f>IFERROR(__xludf.DUMMYFUNCTION("""COMPUTED_VALUE"""),"9788574551753")</f>
        <v>9788574551753</v>
      </c>
      <c r="H9" s="29" t="str">
        <f>IFERROR(__xludf.DUMMYFUNCTION("""COMPUTED_VALUE"""),"http://www.uesc.br/editora/livrosdigitais2/casinha.pdf")</f>
        <v>http://www.uesc.br/editora/livrosdigitais2/casinha.pdf</v>
      </c>
      <c r="I9" s="24" t="str">
        <f>IFERROR(__xludf.DUMMYFUNCTION("""COMPUTED_VALUE"""),"Lingüística Letras e Artes")</f>
        <v>Lingüística Letras e Artes</v>
      </c>
    </row>
    <row r="10">
      <c r="A10" s="24" t="str">
        <f>IFERROR(__xludf.DUMMYFUNCTION("""COMPUTED_VALUE"""),"A construção da gramática")</f>
        <v>A construção da gramática</v>
      </c>
      <c r="B10" s="24" t="str">
        <f>IFERROR(__xludf.DUMMYFUNCTION("""COMPUTED_VALUE"""),"Sebastião Josué Votre (org.)")</f>
        <v>Sebastião Josué Votre (org.)</v>
      </c>
      <c r="C10" s="24" t="str">
        <f>IFERROR(__xludf.DUMMYFUNCTION("""COMPUTED_VALUE"""),"Niterói, RJ")</f>
        <v>Niterói, RJ</v>
      </c>
      <c r="D10" s="24" t="str">
        <f>IFERROR(__xludf.DUMMYFUNCTION("""COMPUTED_VALUE"""),"Editora da UFF")</f>
        <v>Editora da UFF</v>
      </c>
      <c r="E10" s="25">
        <f>IFERROR(__xludf.DUMMYFUNCTION("""COMPUTED_VALUE"""),2012.0)</f>
        <v>2012</v>
      </c>
      <c r="F10" s="24" t="str">
        <f>IFERROR(__xludf.DUMMYFUNCTION("""COMPUTED_VALUE"""),"Gramática; Linguística funcional")</f>
        <v>Gramática; Linguística funcional</v>
      </c>
      <c r="G10" s="28" t="str">
        <f>IFERROR(__xludf.DUMMYFUNCTION("""COMPUTED_VALUE"""),"9788522807468")</f>
        <v>9788522807468</v>
      </c>
      <c r="H10" s="29" t="str">
        <f>IFERROR(__xludf.DUMMYFUNCTION("""COMPUTED_VALUE"""),"https://bit.ly/A-construcao-da-gramatica")</f>
        <v>https://bit.ly/A-construcao-da-gramatica</v>
      </c>
      <c r="I10" s="24" t="str">
        <f>IFERROR(__xludf.DUMMYFUNCTION("""COMPUTED_VALUE"""),"Lingüística Letras e Artes")</f>
        <v>Lingüística Letras e Artes</v>
      </c>
    </row>
    <row r="11">
      <c r="A11" s="24" t="str">
        <f>IFERROR(__xludf.DUMMYFUNCTION("""COMPUTED_VALUE"""),"A ética da paixão")</f>
        <v>A ética da paixão</v>
      </c>
      <c r="B11" s="24" t="str">
        <f>IFERROR(__xludf.DUMMYFUNCTION("""COMPUTED_VALUE"""),"Maria Luiza Nora")</f>
        <v>Maria Luiza Nora</v>
      </c>
      <c r="C11" s="24" t="str">
        <f>IFERROR(__xludf.DUMMYFUNCTION("""COMPUTED_VALUE"""),"Ilhéus, BA")</f>
        <v>Ilhéus, BA</v>
      </c>
      <c r="D11" s="24" t="str">
        <f>IFERROR(__xludf.DUMMYFUNCTION("""COMPUTED_VALUE"""),"Editus")</f>
        <v>Editus</v>
      </c>
      <c r="E11" s="25">
        <f>IFERROR(__xludf.DUMMYFUNCTION("""COMPUTED_VALUE"""),2010.0)</f>
        <v>2010</v>
      </c>
      <c r="F11" s="24" t="str">
        <f>IFERROR(__xludf.DUMMYFUNCTION("""COMPUTED_VALUE"""),"Poesia brasileira")</f>
        <v>Poesia brasileira</v>
      </c>
      <c r="G11" s="28" t="str">
        <f>IFERROR(__xludf.DUMMYFUNCTION("""COMPUTED_VALUE"""),"9788574551814")</f>
        <v>9788574551814</v>
      </c>
      <c r="H11" s="29" t="str">
        <f>IFERROR(__xludf.DUMMYFUNCTION("""COMPUTED_VALUE"""),"http://www.uesc.br/editora/livrosdigitais_20140513/a_etica_da_paixao_baisa.pdf")</f>
        <v>http://www.uesc.br/editora/livrosdigitais_20140513/a_etica_da_paixao_baisa.pdf</v>
      </c>
      <c r="I11" s="24" t="str">
        <f>IFERROR(__xludf.DUMMYFUNCTION("""COMPUTED_VALUE"""),"Lingüística Letras e Artes")</f>
        <v>Lingüística Letras e Artes</v>
      </c>
    </row>
    <row r="12">
      <c r="A12" s="24" t="str">
        <f>IFERROR(__xludf.DUMMYFUNCTION("""COMPUTED_VALUE"""),"A fala do artista professor: criação artística e ensino de arte")</f>
        <v>A fala do artista professor: criação artística e ensino de arte</v>
      </c>
      <c r="B12" s="24" t="str">
        <f>IFERROR(__xludf.DUMMYFUNCTION("""COMPUTED_VALUE"""),"Fernando Augusto dos Santos Neto")</f>
        <v>Fernando Augusto dos Santos Neto</v>
      </c>
      <c r="C12" s="24" t="str">
        <f>IFERROR(__xludf.DUMMYFUNCTION("""COMPUTED_VALUE"""),"Vitória")</f>
        <v>Vitória</v>
      </c>
      <c r="D12" s="24" t="str">
        <f>IFERROR(__xludf.DUMMYFUNCTION("""COMPUTED_VALUE"""),"EDUFES")</f>
        <v>EDUFES</v>
      </c>
      <c r="E12" s="25">
        <f>IFERROR(__xludf.DUMMYFUNCTION("""COMPUTED_VALUE"""),2017.0)</f>
        <v>2017</v>
      </c>
      <c r="F12" s="24" t="str">
        <f>IFERROR(__xludf.DUMMYFUNCTION("""COMPUTED_VALUE"""),"Arte; Estudo e ensino; Professores de arte; Entrevistas")</f>
        <v>Arte; Estudo e ensino; Professores de arte; Entrevistas</v>
      </c>
      <c r="G12" s="28" t="str">
        <f>IFERROR(__xludf.DUMMYFUNCTION("""COMPUTED_VALUE"""),"9788577723645")</f>
        <v>9788577723645</v>
      </c>
      <c r="H12" s="29" t="str">
        <f>IFERROR(__xludf.DUMMYFUNCTION("""COMPUTED_VALUE"""),"http://repositorio.ufes.br/bitstream/10/6981/1/Versao%20digital_A%20fala%20do%20artista%20professor.pdf")</f>
        <v>http://repositorio.ufes.br/bitstream/10/6981/1/Versao%20digital_A%20fala%20do%20artista%20professor.pdf</v>
      </c>
      <c r="I12" s="24" t="str">
        <f>IFERROR(__xludf.DUMMYFUNCTION("""COMPUTED_VALUE"""),"Lingüística Letras e Artes")</f>
        <v>Lingüística Letras e Artes</v>
      </c>
    </row>
    <row r="13">
      <c r="A13" s="24" t="str">
        <f>IFERROR(__xludf.DUMMYFUNCTION("""COMPUTED_VALUE"""),"A fala do Santo ")</f>
        <v>A fala do Santo </v>
      </c>
      <c r="B13" s="24" t="str">
        <f>IFERROR(__xludf.DUMMYFUNCTION("""COMPUTED_VALUE"""),"Ruy do Carmo Póvoas")</f>
        <v>Ruy do Carmo Póvoas</v>
      </c>
      <c r="C13" s="24" t="str">
        <f>IFERROR(__xludf.DUMMYFUNCTION("""COMPUTED_VALUE"""),"Ilhéus, BA")</f>
        <v>Ilhéus, BA</v>
      </c>
      <c r="D13" s="24" t="str">
        <f>IFERROR(__xludf.DUMMYFUNCTION("""COMPUTED_VALUE"""),"Editus")</f>
        <v>Editus</v>
      </c>
      <c r="E13" s="25">
        <f>IFERROR(__xludf.DUMMYFUNCTION("""COMPUTED_VALUE"""),2018.0)</f>
        <v>2018</v>
      </c>
      <c r="F13" s="24" t="str">
        <f>IFERROR(__xludf.DUMMYFUNCTION("""COMPUTED_VALUE"""),"Literatura brasileira – Bahia; Literatura brasileira; – Influências africanas; Memória coletiva; Religião e; literatura; Cultura")</f>
        <v>Literatura brasileira – Bahia; Literatura brasileira; – Influências africanas; Memória coletiva; Religião e; literatura; Cultura</v>
      </c>
      <c r="G13" s="28" t="str">
        <f>IFERROR(__xludf.DUMMYFUNCTION("""COMPUTED_VALUE"""),"9788574554815")</f>
        <v>9788574554815</v>
      </c>
      <c r="H13" s="29" t="str">
        <f>IFERROR(__xludf.DUMMYFUNCTION("""COMPUTED_VALUE"""),"http://www.uesc.br/editora/livrosdigitais2019/a_fala_do_santo.pdf")</f>
        <v>http://www.uesc.br/editora/livrosdigitais2019/a_fala_do_santo.pdf</v>
      </c>
      <c r="I13" s="24" t="str">
        <f>IFERROR(__xludf.DUMMYFUNCTION("""COMPUTED_VALUE"""),"Lingüística Letras e Artes")</f>
        <v>Lingüística Letras e Artes</v>
      </c>
    </row>
    <row r="14">
      <c r="A14" s="24" t="str">
        <f>IFERROR(__xludf.DUMMYFUNCTION("""COMPUTED_VALUE"""),"A Família Agulha (romance humorístico)")</f>
        <v>A Família Agulha (romance humorístico)</v>
      </c>
      <c r="B14" s="24" t="str">
        <f>IFERROR(__xludf.DUMMYFUNCTION("""COMPUTED_VALUE"""),"LU ÍS G U IM A R Ã ES JR .")</f>
        <v>LU ÍS G U IM A R Ã ES JR .</v>
      </c>
      <c r="C14" s="24" t="str">
        <f>IFERROR(__xludf.DUMMYFUNCTION("""COMPUTED_VALUE"""),"Rio de Janeiro")</f>
        <v>Rio de Janeiro</v>
      </c>
      <c r="D14" s="24" t="str">
        <f>IFERROR(__xludf.DUMMYFUNCTION("""COMPUTED_VALUE"""),"Fundação Casa de Rui Barbosa")</f>
        <v>Fundação Casa de Rui Barbosa</v>
      </c>
      <c r="E14" s="25">
        <f>IFERROR(__xludf.DUMMYFUNCTION("""COMPUTED_VALUE"""),2003.0)</f>
        <v>2003</v>
      </c>
      <c r="F14" s="24" t="str">
        <f>IFERROR(__xludf.DUMMYFUNCTION("""COMPUTED_VALUE"""),"Romance brasileiro")</f>
        <v>Romance brasileiro</v>
      </c>
      <c r="G14" s="28" t="str">
        <f>IFERROR(__xludf.DUMMYFUNCTION("""COMPUTED_VALUE"""),"8588782073")</f>
        <v>8588782073</v>
      </c>
      <c r="H14" s="29" t="str">
        <f>IFERROR(__xludf.DUMMYFUNCTION("""COMPUTED_VALUE"""),"http://www.casaruibarbosa.gov.br/arquivos/file/A%20fam%C3%ADlia%20Agulha%20OCR.pdf")</f>
        <v>http://www.casaruibarbosa.gov.br/arquivos/file/A%20fam%C3%ADlia%20Agulha%20OCR.pdf</v>
      </c>
      <c r="I14" s="24" t="str">
        <f>IFERROR(__xludf.DUMMYFUNCTION("""COMPUTED_VALUE"""),"Lingüística Letras e Artes")</f>
        <v>Lingüística Letras e Artes</v>
      </c>
    </row>
    <row r="15">
      <c r="A15" s="24" t="str">
        <f>IFERROR(__xludf.DUMMYFUNCTION("""COMPUTED_VALUE"""),"A historiografia literária e as técnicas de escrita")</f>
        <v>A historiografia literária e as técnicas de escrita</v>
      </c>
      <c r="B15" s="24" t="str">
        <f>IFERROR(__xludf.DUMMYFUNCTION("""COMPUTED_VALUE"""),"Organização de FLORA SÜSSEKIND e TÂNIA DIAS")</f>
        <v>Organização de FLORA SÜSSEKIND e TÂNIA DIAS</v>
      </c>
      <c r="C15" s="24" t="str">
        <f>IFERROR(__xludf.DUMMYFUNCTION("""COMPUTED_VALUE"""),"Rio de Janeiro")</f>
        <v>Rio de Janeiro</v>
      </c>
      <c r="D15" s="24" t="str">
        <f>IFERROR(__xludf.DUMMYFUNCTION("""COMPUTED_VALUE"""),"Fundação Casa de Rui Barbosa")</f>
        <v>Fundação Casa de Rui Barbosa</v>
      </c>
      <c r="E15" s="25">
        <f>IFERROR(__xludf.DUMMYFUNCTION("""COMPUTED_VALUE"""),2004.0)</f>
        <v>2004</v>
      </c>
      <c r="F15" s="24" t="str">
        <f>IFERROR(__xludf.DUMMYFUNCTION("""COMPUTED_VALUE"""),"Literatura. Historiografia. Escrita. Manuscrito. Hipertexto")</f>
        <v>Literatura. Historiografia. Escrita. Manuscrito. Hipertexto</v>
      </c>
      <c r="G15" s="28" t="str">
        <f>IFERROR(__xludf.DUMMYFUNCTION("""COMPUTED_VALUE"""),"8570042523")</f>
        <v>8570042523</v>
      </c>
      <c r="H15" s="29" t="str">
        <f>IFERROR(__xludf.DUMMYFUNCTION("""COMPUTED_VALUE"""),"http://www.casaruibarbosa.gov.br/arquivos/file/A%20Historiografia%20Liter%C3%A1ria%20e%20as%20t%C3%A9cnicas%20de%20escrita_capa%20OCR.pdf")</f>
        <v>http://www.casaruibarbosa.gov.br/arquivos/file/A%20Historiografia%20Liter%C3%A1ria%20e%20as%20t%C3%A9cnicas%20de%20escrita_capa%20OCR.pdf</v>
      </c>
      <c r="I15" s="24" t="str">
        <f>IFERROR(__xludf.DUMMYFUNCTION("""COMPUTED_VALUE"""),"Lingüística Letras e Artes")</f>
        <v>Lingüística Letras e Artes</v>
      </c>
    </row>
    <row r="16">
      <c r="A16" s="24" t="str">
        <f>IFERROR(__xludf.DUMMYFUNCTION("""COMPUTED_VALUE"""),"A Ilumiara Sob o Sol do Meio-Dia: Estudos sobre a obra de Ariano Suassuna ")</f>
        <v>A Ilumiara Sob o Sol do Meio-Dia: Estudos sobre a obra de Ariano Suassuna </v>
      </c>
      <c r="B16" s="24" t="str">
        <f>IFERROR(__xludf.DUMMYFUNCTION("""COMPUTED_VALUE"""),"Marcos Paulo Torres Pereira &amp; Francisco Wellington Rodrigues Lima (org.)")</f>
        <v>Marcos Paulo Torres Pereira &amp; Francisco Wellington Rodrigues Lima (org.)</v>
      </c>
      <c r="C16" s="24" t="str">
        <f>IFERROR(__xludf.DUMMYFUNCTION("""COMPUTED_VALUE"""),"Macapá")</f>
        <v>Macapá</v>
      </c>
      <c r="D16" s="24" t="str">
        <f>IFERROR(__xludf.DUMMYFUNCTION("""COMPUTED_VALUE"""),"UNIFAP")</f>
        <v>UNIFAP</v>
      </c>
      <c r="E16" s="25">
        <f>IFERROR(__xludf.DUMMYFUNCTION("""COMPUTED_VALUE"""),2018.0)</f>
        <v>2018</v>
      </c>
      <c r="F16" s="24" t="str">
        <f>IFERROR(__xludf.DUMMYFUNCTION("""COMPUTED_VALUE"""),"Ariano Suassuna; Literatura Brasileira; Nordeste")</f>
        <v>Ariano Suassuna; Literatura Brasileira; Nordeste</v>
      </c>
      <c r="G16" s="28" t="str">
        <f>IFERROR(__xludf.DUMMYFUNCTION("""COMPUTED_VALUE"""),"9788554760434")</f>
        <v>9788554760434</v>
      </c>
      <c r="H16" s="29" t="str">
        <f>IFERROR(__xludf.DUMMYFUNCTION("""COMPUTED_VALUE"""),"https://www2.unifap.br/editora/files/2018/12/A-Ilumiara-sob-o-Sol-do-Meio-Dia.pdf")</f>
        <v>https://www2.unifap.br/editora/files/2018/12/A-Ilumiara-sob-o-Sol-do-Meio-Dia.pdf</v>
      </c>
      <c r="I16" s="24" t="str">
        <f>IFERROR(__xludf.DUMMYFUNCTION("""COMPUTED_VALUE"""),"Lingüística Letras e Artes")</f>
        <v>Lingüística Letras e Artes</v>
      </c>
    </row>
    <row r="17">
      <c r="A17" s="24" t="str">
        <f>IFERROR(__xludf.DUMMYFUNCTION("""COMPUTED_VALUE"""),"A importância da leitura")</f>
        <v>A importância da leitura</v>
      </c>
      <c r="B17" s="24" t="str">
        <f>IFERROR(__xludf.DUMMYFUNCTION("""COMPUTED_VALUE"""),"Amanda Puglia de Oliveira Buttini ")</f>
        <v>Amanda Puglia de Oliveira Buttini </v>
      </c>
      <c r="C17" s="24" t="str">
        <f>IFERROR(__xludf.DUMMYFUNCTION("""COMPUTED_VALUE"""),"Dourados, MS")</f>
        <v>Dourados, MS</v>
      </c>
      <c r="D17" s="24" t="str">
        <f>IFERROR(__xludf.DUMMYFUNCTION("""COMPUTED_VALUE"""),"Ed. UFGD")</f>
        <v>Ed. UFGD</v>
      </c>
      <c r="E17" s="25">
        <f>IFERROR(__xludf.DUMMYFUNCTION("""COMPUTED_VALUE"""),2016.0)</f>
        <v>2016</v>
      </c>
      <c r="F17" s="24" t="str">
        <f>IFERROR(__xludf.DUMMYFUNCTION("""COMPUTED_VALUE"""),"Leitura; Contos; Obra comemorativa; EdUFGD")</f>
        <v>Leitura; Contos; Obra comemorativa; EdUFGD</v>
      </c>
      <c r="G17" s="28" t="str">
        <f>IFERROR(__xludf.DUMMYFUNCTION("""COMPUTED_VALUE"""),"9788581471341")</f>
        <v>9788581471341</v>
      </c>
      <c r="H17" s="29" t="str">
        <f>IFERROR(__xludf.DUMMYFUNCTION("""COMPUTED_VALUE"""),"http://omp.ufgd.edu.br/omp/index.php/livrosabertos/catalog/view/26/44/116-2")</f>
        <v>http://omp.ufgd.edu.br/omp/index.php/livrosabertos/catalog/view/26/44/116-2</v>
      </c>
      <c r="I17" s="24" t="str">
        <f>IFERROR(__xludf.DUMMYFUNCTION("""COMPUTED_VALUE"""),"Lingüística Letras e Artes")</f>
        <v>Lingüística Letras e Artes</v>
      </c>
    </row>
    <row r="18">
      <c r="A18" s="24" t="str">
        <f>IFERROR(__xludf.DUMMYFUNCTION("""COMPUTED_VALUE"""),"A indiferença e o sol: Meursault, o herói absurdo em o estrangeiro de Albert Camus")</f>
        <v>A indiferença e o sol: Meursault, o herói absurdo em o estrangeiro de Albert Camus</v>
      </c>
      <c r="B18" s="24" t="str">
        <f>IFERROR(__xludf.DUMMYFUNCTION("""COMPUTED_VALUE"""),"Angela Binda")</f>
        <v>Angela Binda</v>
      </c>
      <c r="C18" s="24" t="str">
        <f>IFERROR(__xludf.DUMMYFUNCTION("""COMPUTED_VALUE"""),"Vitória")</f>
        <v>Vitória</v>
      </c>
      <c r="D18" s="24" t="str">
        <f>IFERROR(__xludf.DUMMYFUNCTION("""COMPUTED_VALUE"""),"EDUFES")</f>
        <v>EDUFES</v>
      </c>
      <c r="E18" s="25">
        <f>IFERROR(__xludf.DUMMYFUNCTION("""COMPUTED_VALUE"""),2013.0)</f>
        <v>2013</v>
      </c>
      <c r="F18" s="24" t="str">
        <f>IFERROR(__xludf.DUMMYFUNCTION("""COMPUTED_VALUE"""),"Crítica e interpretação; Literatura; Ficção francesa; História e crítica; Albert Camus")</f>
        <v>Crítica e interpretação; Literatura; Ficção francesa; História e crítica; Albert Camus</v>
      </c>
      <c r="G18" s="28" t="str">
        <f>IFERROR(__xludf.DUMMYFUNCTION("""COMPUTED_VALUE"""),"9788577721368")</f>
        <v>9788577721368</v>
      </c>
      <c r="H18" s="29" t="str">
        <f>IFERROR(__xludf.DUMMYFUNCTION("""COMPUTED_VALUE"""),"http://repositorio.ufes.br/bitstream/10/854/1/Livro%20edufes%20A%20indiferen%C3%A7a%20e%20o%20sol%20Meursault%2C%20o%20her%C3%B3i%20absurdo%20em%20O%20Estrangeiro%20de%20Albert%20Camus.pdf")</f>
        <v>http://repositorio.ufes.br/bitstream/10/854/1/Livro%20edufes%20A%20indiferen%C3%A7a%20e%20o%20sol%20Meursault%2C%20o%20her%C3%B3i%20absurdo%20em%20O%20Estrangeiro%20de%20Albert%20Camus.pdf</v>
      </c>
      <c r="I18" s="24" t="str">
        <f>IFERROR(__xludf.DUMMYFUNCTION("""COMPUTED_VALUE"""),"Lingüística Letras e Artes")</f>
        <v>Lingüística Letras e Artes</v>
      </c>
    </row>
    <row r="19">
      <c r="A19" s="24" t="str">
        <f>IFERROR(__xludf.DUMMYFUNCTION("""COMPUTED_VALUE"""),"A influência da revisão colaborativa na produção textual em língua inglesa — coleção olhares —")</f>
        <v>A influência da revisão colaborativa na produção textual em língua inglesa — coleção olhares —</v>
      </c>
      <c r="B19" s="24" t="str">
        <f>IFERROR(__xludf.DUMMYFUNCTION("""COMPUTED_VALUE"""),"Guido de Oliveira Carvalho")</f>
        <v>Guido de Oliveira Carvalho</v>
      </c>
      <c r="C19" s="24" t="str">
        <f>IFERROR(__xludf.DUMMYFUNCTION("""COMPUTED_VALUE"""),"Anápolis")</f>
        <v>Anápolis</v>
      </c>
      <c r="D19" s="24" t="str">
        <f>IFERROR(__xludf.DUMMYFUNCTION("""COMPUTED_VALUE"""),"UEG")</f>
        <v>UEG</v>
      </c>
      <c r="E19" s="25">
        <f>IFERROR(__xludf.DUMMYFUNCTION("""COMPUTED_VALUE"""),2010.0)</f>
        <v>2010</v>
      </c>
      <c r="F19" s="24" t="str">
        <f>IFERROR(__xludf.DUMMYFUNCTION("""COMPUTED_VALUE"""),"Produção de texto – Língua inglesa; Linguística do texto – Língua inglesa")</f>
        <v>Produção de texto – Língua inglesa; Linguística do texto – Língua inglesa</v>
      </c>
      <c r="G19" s="28" t="str">
        <f>IFERROR(__xludf.DUMMYFUNCTION("""COMPUTED_VALUE"""),"9788563192097")</f>
        <v>9788563192097</v>
      </c>
      <c r="H19" s="29" t="str">
        <f>IFERROR(__xludf.DUMMYFUNCTION("""COMPUTED_VALUE"""),"http://cdn.ueg.edu.br/source/editora_ueg/conteudoN/4946/pdf_colecao_olhares/livro05_guido_de_oliveira.pdf")</f>
        <v>http://cdn.ueg.edu.br/source/editora_ueg/conteudoN/4946/pdf_colecao_olhares/livro05_guido_de_oliveira.pdf</v>
      </c>
      <c r="I19" s="24" t="str">
        <f>IFERROR(__xludf.DUMMYFUNCTION("""COMPUTED_VALUE"""),"Lingüística Letras e Artes")</f>
        <v>Lingüística Letras e Artes</v>
      </c>
    </row>
    <row r="20">
      <c r="A20" s="24" t="str">
        <f>IFERROR(__xludf.DUMMYFUNCTION("""COMPUTED_VALUE"""),"A invenção do Brasil: o país efabulado no Modernismo nacional ")</f>
        <v>A invenção do Brasil: o país efabulado no Modernismo nacional </v>
      </c>
      <c r="B20" s="24" t="str">
        <f>IFERROR(__xludf.DUMMYFUNCTION("""COMPUTED_VALUE"""),"Marcos Paulo Torres Pereira. ")</f>
        <v>Marcos Paulo Torres Pereira. </v>
      </c>
      <c r="C20" s="24" t="str">
        <f>IFERROR(__xludf.DUMMYFUNCTION("""COMPUTED_VALUE"""),"Macapá")</f>
        <v>Macapá</v>
      </c>
      <c r="D20" s="24" t="str">
        <f>IFERROR(__xludf.DUMMYFUNCTION("""COMPUTED_VALUE"""),"UNIFAP")</f>
        <v>UNIFAP</v>
      </c>
      <c r="E20" s="25">
        <f>IFERROR(__xludf.DUMMYFUNCTION("""COMPUTED_VALUE"""),2016.0)</f>
        <v>2016</v>
      </c>
      <c r="F20" s="24" t="str">
        <f>IFERROR(__xludf.DUMMYFUNCTION("""COMPUTED_VALUE"""),"Literatura; Literatura brasileira; Modernismo")</f>
        <v>Literatura; Literatura brasileira; Modernismo</v>
      </c>
      <c r="G20" s="28" t="str">
        <f>IFERROR(__xludf.DUMMYFUNCTION("""COMPUTED_VALUE"""),"9788562359415")</f>
        <v>9788562359415</v>
      </c>
      <c r="H20" s="29" t="str">
        <f>IFERROR(__xludf.DUMMYFUNCTION("""COMPUTED_VALUE"""),"https://www2.unifap.br/editora/files/2014/12/PEREIRA-Marcos-Paulo-Torres.-A-inven%c3%a7%c3%a3o-do-Brasil-o-pa%c3%ads-efabulado-no-Modernismo-nacional.pdf.pdf")</f>
        <v>https://www2.unifap.br/editora/files/2014/12/PEREIRA-Marcos-Paulo-Torres.-A-inven%c3%a7%c3%a3o-do-Brasil-o-pa%c3%ads-efabulado-no-Modernismo-nacional.pdf.pdf</v>
      </c>
      <c r="I20" s="24" t="str">
        <f>IFERROR(__xludf.DUMMYFUNCTION("""COMPUTED_VALUE"""),"Lingüística Letras e Artes")</f>
        <v>Lingüística Letras e Artes</v>
      </c>
    </row>
    <row r="21">
      <c r="A21" s="24" t="str">
        <f>IFERROR(__xludf.DUMMYFUNCTION("""COMPUTED_VALUE"""),"A Língua Nossa de Todo Dia")</f>
        <v>A Língua Nossa de Todo Dia</v>
      </c>
      <c r="B21" s="24" t="str">
        <f>IFERROR(__xludf.DUMMYFUNCTION("""COMPUTED_VALUE"""),"Organização; Flavio Benites e Marta Cocco")</f>
        <v>Organização; Flavio Benites e Marta Cocco</v>
      </c>
      <c r="C21" s="24" t="str">
        <f>IFERROR(__xludf.DUMMYFUNCTION("""COMPUTED_VALUE"""),"Cáceres")</f>
        <v>Cáceres</v>
      </c>
      <c r="D21" s="24" t="str">
        <f>IFERROR(__xludf.DUMMYFUNCTION("""COMPUTED_VALUE"""),"UNEMAT")</f>
        <v>UNEMAT</v>
      </c>
      <c r="E21" s="25">
        <f>IFERROR(__xludf.DUMMYFUNCTION("""COMPUTED_VALUE"""),2015.0)</f>
        <v>2015</v>
      </c>
      <c r="F21" s="24" t="str">
        <f>IFERROR(__xludf.DUMMYFUNCTION("""COMPUTED_VALUE"""),"Linguagem; Letras; Língua e Linguagem")</f>
        <v>Linguagem; Letras; Língua e Linguagem</v>
      </c>
      <c r="G21" s="28" t="str">
        <f>IFERROR(__xludf.DUMMYFUNCTION("""COMPUTED_VALUE"""),"9788579111570")</f>
        <v>9788579111570</v>
      </c>
      <c r="H21" s="29" t="str">
        <f>IFERROR(__xludf.DUMMYFUNCTION("""COMPUTED_VALUE"""),"http://www.unemat.br/reitoria/editora/downloads/eletronico/a_lingua_nossa_de_todo_dia.pdf")</f>
        <v>http://www.unemat.br/reitoria/editora/downloads/eletronico/a_lingua_nossa_de_todo_dia.pdf</v>
      </c>
      <c r="I21" s="24" t="str">
        <f>IFERROR(__xludf.DUMMYFUNCTION("""COMPUTED_VALUE"""),"Lingüística Letras e Artes")</f>
        <v>Lingüística Letras e Artes</v>
      </c>
    </row>
    <row r="22">
      <c r="A22" s="24" t="str">
        <f>IFERROR(__xludf.DUMMYFUNCTION("""COMPUTED_VALUE"""),"A menina dos olhos de ouro - romance de cordel ")</f>
        <v>A menina dos olhos de ouro - romance de cordel </v>
      </c>
      <c r="B22" s="24" t="str">
        <f>IFERROR(__xludf.DUMMYFUNCTION("""COMPUTED_VALUE"""),"Piligra; ilustrações de Sanqueilo de Lima Santos")</f>
        <v>Piligra; ilustrações de Sanqueilo de Lima Santos</v>
      </c>
      <c r="C22" s="24" t="str">
        <f>IFERROR(__xludf.DUMMYFUNCTION("""COMPUTED_VALUE"""),"Ilhéus, BA")</f>
        <v>Ilhéus, BA</v>
      </c>
      <c r="D22" s="24" t="str">
        <f>IFERROR(__xludf.DUMMYFUNCTION("""COMPUTED_VALUE"""),"Editus")</f>
        <v>Editus</v>
      </c>
      <c r="E22" s="25">
        <f>IFERROR(__xludf.DUMMYFUNCTION("""COMPUTED_VALUE"""),2015.0)</f>
        <v>2015</v>
      </c>
      <c r="F22" s="24" t="str">
        <f>IFERROR(__xludf.DUMMYFUNCTION("""COMPUTED_VALUE"""),"Poesia brasileira; Literatura brasileira")</f>
        <v>Poesia brasileira; Literatura brasileira</v>
      </c>
      <c r="G22" s="28" t="str">
        <f>IFERROR(__xludf.DUMMYFUNCTION("""COMPUTED_VALUE"""),"9788574553955")</f>
        <v>9788574553955</v>
      </c>
      <c r="H22" s="29" t="str">
        <f>IFERROR(__xludf.DUMMYFUNCTION("""COMPUTED_VALUE"""),"http://www.uesc.br/editora/livrosdigitais2017/a_menina_olhos_ouro.pdf")</f>
        <v>http://www.uesc.br/editora/livrosdigitais2017/a_menina_olhos_ouro.pdf</v>
      </c>
      <c r="I22" s="24" t="str">
        <f>IFERROR(__xludf.DUMMYFUNCTION("""COMPUTED_VALUE"""),"Lingüística Letras e Artes")</f>
        <v>Lingüística Letras e Artes</v>
      </c>
    </row>
    <row r="23">
      <c r="A23" s="24" t="str">
        <f>IFERROR(__xludf.DUMMYFUNCTION("""COMPUTED_VALUE"""),"A menina fez carinho na lua")</f>
        <v>A menina fez carinho na lua</v>
      </c>
      <c r="B23" s="24" t="str">
        <f>IFERROR(__xludf.DUMMYFUNCTION("""COMPUTED_VALUE"""),"Fátima Cordeiro")</f>
        <v>Fátima Cordeiro</v>
      </c>
      <c r="C23" s="24" t="str">
        <f>IFERROR(__xludf.DUMMYFUNCTION("""COMPUTED_VALUE"""),"Rio Branco")</f>
        <v>Rio Branco</v>
      </c>
      <c r="D23" s="24" t="str">
        <f>IFERROR(__xludf.DUMMYFUNCTION("""COMPUTED_VALUE"""),"Edufac")</f>
        <v>Edufac</v>
      </c>
      <c r="E23" s="25">
        <f>IFERROR(__xludf.DUMMYFUNCTION("""COMPUTED_VALUE"""),2020.0)</f>
        <v>2020</v>
      </c>
      <c r="F23" s="24" t="str">
        <f>IFERROR(__xludf.DUMMYFUNCTION("""COMPUTED_VALUE"""),"Literatura brasileira; Literatura brasileira - Poesia; Literatura infantil")</f>
        <v>Literatura brasileira; Literatura brasileira - Poesia; Literatura infantil</v>
      </c>
      <c r="G23" s="28" t="str">
        <f>IFERROR(__xludf.DUMMYFUNCTION("""COMPUTED_VALUE"""),"9788582361153")</f>
        <v>9788582361153</v>
      </c>
      <c r="H23" s="29" t="str">
        <f>IFERROR(__xludf.DUMMYFUNCTION("""COMPUTED_VALUE"""),"http://www2.ufac.br/editora/livros/AMENINACARINHOLUA.pdf")</f>
        <v>http://www2.ufac.br/editora/livros/AMENINACARINHOLUA.pdf</v>
      </c>
      <c r="I23" s="24" t="str">
        <f>IFERROR(__xludf.DUMMYFUNCTION("""COMPUTED_VALUE"""),"Lingüística Letras e Artes")</f>
        <v>Lingüística Letras e Artes</v>
      </c>
    </row>
    <row r="24">
      <c r="A24" s="24" t="str">
        <f>IFERROR(__xludf.DUMMYFUNCTION("""COMPUTED_VALUE"""),"A Nova Ortografia. O que muda com o acordo ortográfico")</f>
        <v>A Nova Ortografia. O que muda com o acordo ortográfico</v>
      </c>
      <c r="B24" s="24" t="str">
        <f>IFERROR(__xludf.DUMMYFUNCTION("""COMPUTED_VALUE"""),"Claudio Cezar Henriques")</f>
        <v>Claudio Cezar Henriques</v>
      </c>
      <c r="C24" s="24" t="str">
        <f>IFERROR(__xludf.DUMMYFUNCTION("""COMPUTED_VALUE"""),"Rio de Janeiro")</f>
        <v>Rio de Janeiro</v>
      </c>
      <c r="D24" s="24" t="str">
        <f>IFERROR(__xludf.DUMMYFUNCTION("""COMPUTED_VALUE"""),"EdUERJ")</f>
        <v>EdUERJ</v>
      </c>
      <c r="E24" s="25">
        <f>IFERROR(__xludf.DUMMYFUNCTION("""COMPUTED_VALUE"""),2015.0)</f>
        <v>2015</v>
      </c>
      <c r="F24" s="24" t="str">
        <f>IFERROR(__xludf.DUMMYFUNCTION("""COMPUTED_VALUE"""),"Língua portuguesa; Ortografia; Soletração; Língua portuguesa; Gramática")</f>
        <v>Língua portuguesa; Ortografia; Soletração; Língua portuguesa; Gramática</v>
      </c>
      <c r="G24" s="28" t="str">
        <f>IFERROR(__xludf.DUMMYFUNCTION("""COMPUTED_VALUE"""),"9788575113936")</f>
        <v>9788575113936</v>
      </c>
      <c r="H24" s="29" t="str">
        <f>IFERROR(__xludf.DUMMYFUNCTION("""COMPUTED_VALUE"""),"https://www.eduerj.com/eng/?product=a-nova-ortografia-o-que-muda-com-o-acordo-ortografico-ebook")</f>
        <v>https://www.eduerj.com/eng/?product=a-nova-ortografia-o-que-muda-com-o-acordo-ortografico-ebook</v>
      </c>
      <c r="I24" s="24" t="str">
        <f>IFERROR(__xludf.DUMMYFUNCTION("""COMPUTED_VALUE"""),"Lingüística Letras e Artes")</f>
        <v>Lingüística Letras e Artes</v>
      </c>
    </row>
    <row r="25">
      <c r="A25" s="24" t="str">
        <f>IFERROR(__xludf.DUMMYFUNCTION("""COMPUTED_VALUE"""),"A Odisséia de Jorge Amado ")</f>
        <v>A Odisséia de Jorge Amado </v>
      </c>
      <c r="B25" s="24" t="str">
        <f>IFERROR(__xludf.DUMMYFUNCTION("""COMPUTED_VALUE"""),"Piligra; arte gráfica de George; Pellegrini, ilustração de Jane Hilda Badaró. ")</f>
        <v>Piligra; arte gráfica de George; Pellegrini, ilustração de Jane Hilda Badaró. </v>
      </c>
      <c r="C25" s="24" t="str">
        <f>IFERROR(__xludf.DUMMYFUNCTION("""COMPUTED_VALUE"""),"Ilhéus, BA")</f>
        <v>Ilhéus, BA</v>
      </c>
      <c r="D25" s="24" t="str">
        <f>IFERROR(__xludf.DUMMYFUNCTION("""COMPUTED_VALUE"""),"Editus")</f>
        <v>Editus</v>
      </c>
      <c r="E25" s="25">
        <f>IFERROR(__xludf.DUMMYFUNCTION("""COMPUTED_VALUE"""),2012.0)</f>
        <v>2012</v>
      </c>
      <c r="F25" s="24" t="str">
        <f>IFERROR(__xludf.DUMMYFUNCTION("""COMPUTED_VALUE"""),"Poesia brasileira; Literatura brasileira")</f>
        <v>Poesia brasileira; Literatura brasileira</v>
      </c>
      <c r="G25" s="28" t="str">
        <f>IFERROR(__xludf.DUMMYFUNCTION("""COMPUTED_VALUE"""),"9788574552866")</f>
        <v>9788574552866</v>
      </c>
      <c r="H25" s="29" t="str">
        <f>IFERROR(__xludf.DUMMYFUNCTION("""COMPUTED_VALUE"""),"http://www.uesc.br/editora/livrosdigitais2015/a_odisseia_ja.pdf")</f>
        <v>http://www.uesc.br/editora/livrosdigitais2015/a_odisseia_ja.pdf</v>
      </c>
      <c r="I25" s="24" t="str">
        <f>IFERROR(__xludf.DUMMYFUNCTION("""COMPUTED_VALUE"""),"Lingüística Letras e Artes")</f>
        <v>Lingüística Letras e Artes</v>
      </c>
    </row>
    <row r="26">
      <c r="A26" s="24" t="str">
        <f>IFERROR(__xludf.DUMMYFUNCTION("""COMPUTED_VALUE"""),"A orquídea negra: romance de formação")</f>
        <v>A orquídea negra: romance de formação</v>
      </c>
      <c r="B26" s="24" t="str">
        <f>IFERROR(__xludf.DUMMYFUNCTION("""COMPUTED_VALUE"""),"Roberto Sidnei Macedo")</f>
        <v>Roberto Sidnei Macedo</v>
      </c>
      <c r="C26" s="24" t="str">
        <f>IFERROR(__xludf.DUMMYFUNCTION("""COMPUTED_VALUE"""),"Ilhéus, BA")</f>
        <v>Ilhéus, BA</v>
      </c>
      <c r="D26" s="24" t="str">
        <f>IFERROR(__xludf.DUMMYFUNCTION("""COMPUTED_VALUE"""),"Editus")</f>
        <v>Editus</v>
      </c>
      <c r="E26" s="25">
        <f>IFERROR(__xludf.DUMMYFUNCTION("""COMPUTED_VALUE"""),2017.0)</f>
        <v>2017</v>
      </c>
      <c r="F26" s="24" t="str">
        <f>IFERROR(__xludf.DUMMYFUNCTION("""COMPUTED_VALUE"""),"Ficção brasileira – Bahia; Personagens e; características; Negros na literatura; Negros –; Educação (superior); Negros – Genealogia")</f>
        <v>Ficção brasileira – Bahia; Personagens e; características; Negros na literatura; Negros –; Educação (superior); Negros – Genealogia</v>
      </c>
      <c r="G26" s="28" t="str">
        <f>IFERROR(__xludf.DUMMYFUNCTION("""COMPUTED_VALUE"""),"9788574554655")</f>
        <v>9788574554655</v>
      </c>
      <c r="H26" s="29" t="str">
        <f>IFERROR(__xludf.DUMMYFUNCTION("""COMPUTED_VALUE"""),"http://www.uesc.br/editora/livrosdigitais2019/a_orquidea_negra.pdf")</f>
        <v>http://www.uesc.br/editora/livrosdigitais2019/a_orquidea_negra.pdf</v>
      </c>
      <c r="I26" s="24" t="str">
        <f>IFERROR(__xludf.DUMMYFUNCTION("""COMPUTED_VALUE"""),"Lingüística Letras e Artes")</f>
        <v>Lingüística Letras e Artes</v>
      </c>
    </row>
    <row r="27">
      <c r="A27" s="24" t="str">
        <f>IFERROR(__xludf.DUMMYFUNCTION("""COMPUTED_VALUE"""),"A palavra e o tempo, de Euclides Neto: um garimpeiro da identidade cultural grapiúna ")</f>
        <v>A palavra e o tempo, de Euclides Neto: um garimpeiro da identidade cultural grapiúna </v>
      </c>
      <c r="B27" s="24" t="str">
        <f>IFERROR(__xludf.DUMMYFUNCTION("""COMPUTED_VALUE"""),"Rita Lírio de Oliveira")</f>
        <v>Rita Lírio de Oliveira</v>
      </c>
      <c r="C27" s="24" t="str">
        <f>IFERROR(__xludf.DUMMYFUNCTION("""COMPUTED_VALUE"""),"Ilhéus, BA")</f>
        <v>Ilhéus, BA</v>
      </c>
      <c r="D27" s="24" t="str">
        <f>IFERROR(__xludf.DUMMYFUNCTION("""COMPUTED_VALUE"""),"Editus")</f>
        <v>Editus</v>
      </c>
      <c r="E27" s="25">
        <f>IFERROR(__xludf.DUMMYFUNCTION("""COMPUTED_VALUE"""),2013.0)</f>
        <v>2013</v>
      </c>
      <c r="F27" s="24" t="str">
        <f>IFERROR(__xludf.DUMMYFUNCTION("""COMPUTED_VALUE"""),"Ensaios brasileiros; Regionalismo na literatura –; Bahia; Literatura brasileira; Euclides Neto, 1925-; 2000 – Crítica e interpretação; Identidade Cultural")</f>
        <v>Ensaios brasileiros; Regionalismo na literatura –; Bahia; Literatura brasileira; Euclides Neto, 1925-; 2000 – Crítica e interpretação; Identidade Cultural</v>
      </c>
      <c r="G27" s="28" t="str">
        <f>IFERROR(__xludf.DUMMYFUNCTION("""COMPUTED_VALUE"""),"9788574553153")</f>
        <v>9788574553153</v>
      </c>
      <c r="H27" s="32" t="str">
        <f>IFERROR(__xludf.DUMMYFUNCTION("""COMPUTED_VALUE"""),"http://www.uesc.br/editora/livrosdigitais2016/a_palavra_tempo_euclides_neto.pdf")</f>
        <v>http://www.uesc.br/editora/livrosdigitais2016/a_palavra_tempo_euclides_neto.pdf</v>
      </c>
      <c r="I27" s="24" t="str">
        <f>IFERROR(__xludf.DUMMYFUNCTION("""COMPUTED_VALUE"""),"Lingüística Letras e Artes")</f>
        <v>Lingüística Letras e Artes</v>
      </c>
    </row>
    <row r="28">
      <c r="A28" s="24" t="str">
        <f>IFERROR(__xludf.DUMMYFUNCTION("""COMPUTED_VALUE"""),"A passagem dos sinais ")</f>
        <v>A passagem dos sinais </v>
      </c>
      <c r="B28" s="24" t="str">
        <f>IFERROR(__xludf.DUMMYFUNCTION("""COMPUTED_VALUE"""),"Iza Quelhas")</f>
        <v>Iza Quelhas</v>
      </c>
      <c r="C28" s="24" t="str">
        <f>IFERROR(__xludf.DUMMYFUNCTION("""COMPUTED_VALUE"""),"Niterói, RJ")</f>
        <v>Niterói, RJ</v>
      </c>
      <c r="D28" s="24" t="str">
        <f>IFERROR(__xludf.DUMMYFUNCTION("""COMPUTED_VALUE"""),"EDUFF")</f>
        <v>EDUFF</v>
      </c>
      <c r="E28" s="25">
        <f>IFERROR(__xludf.DUMMYFUNCTION("""COMPUTED_VALUE"""),1996.0)</f>
        <v>1996</v>
      </c>
      <c r="F28" s="24" t="str">
        <f>IFERROR(__xludf.DUMMYFUNCTION("""COMPUTED_VALUE"""),"Poesia brasileira")</f>
        <v>Poesia brasileira</v>
      </c>
      <c r="G28" s="28" t="str">
        <f>IFERROR(__xludf.DUMMYFUNCTION("""COMPUTED_VALUE"""),"852280186X")</f>
        <v>852280186X</v>
      </c>
      <c r="H28" s="29" t="str">
        <f>IFERROR(__xludf.DUMMYFUNCTION("""COMPUTED_VALUE"""),"http://www.eduff.uff.br/ebooks/A-passagem-dos-sinais.pdf")</f>
        <v>http://www.eduff.uff.br/ebooks/A-passagem-dos-sinais.pdf</v>
      </c>
      <c r="I28" s="24" t="str">
        <f>IFERROR(__xludf.DUMMYFUNCTION("""COMPUTED_VALUE"""),"Lingüística Letras e Artes")</f>
        <v>Lingüística Letras e Artes</v>
      </c>
    </row>
    <row r="29">
      <c r="A29" s="24" t="str">
        <f>IFERROR(__xludf.DUMMYFUNCTION("""COMPUTED_VALUE"""),"A paz dos vagabundos (II Prêmio UFES de Literatura)")</f>
        <v>A paz dos vagabundos (II Prêmio UFES de Literatura)</v>
      </c>
      <c r="B29" s="24" t="str">
        <f>IFERROR(__xludf.DUMMYFUNCTION("""COMPUTED_VALUE"""),"João Albani")</f>
        <v>João Albani</v>
      </c>
      <c r="C29" s="24" t="str">
        <f>IFERROR(__xludf.DUMMYFUNCTION("""COMPUTED_VALUE"""),"Vitória")</f>
        <v>Vitória</v>
      </c>
      <c r="D29" s="24" t="str">
        <f>IFERROR(__xludf.DUMMYFUNCTION("""COMPUTED_VALUE"""),"EDUFES")</f>
        <v>EDUFES</v>
      </c>
      <c r="E29" s="25">
        <f>IFERROR(__xludf.DUMMYFUNCTION("""COMPUTED_VALUE"""),2015.0)</f>
        <v>2015</v>
      </c>
      <c r="F29" s="24" t="str">
        <f>IFERROR(__xludf.DUMMYFUNCTION("""COMPUTED_VALUE"""),"Ficção brasileira; Literatura brasileira; Literatura")</f>
        <v>Ficção brasileira; Literatura brasileira; Literatura</v>
      </c>
      <c r="G29" s="28" t="str">
        <f>IFERROR(__xludf.DUMMYFUNCTION("""COMPUTED_VALUE"""),"9788577722914")</f>
        <v>9788577722914</v>
      </c>
      <c r="H29" s="29" t="str">
        <f>IFERROR(__xludf.DUMMYFUNCTION("""COMPUTED_VALUE"""),"http://repositorio.ufes.br/bitstream/10/1505/1/A%20paz%20dos%20vagabundos.pdf")</f>
        <v>http://repositorio.ufes.br/bitstream/10/1505/1/A%20paz%20dos%20vagabundos.pdf</v>
      </c>
      <c r="I29" s="24" t="str">
        <f>IFERROR(__xludf.DUMMYFUNCTION("""COMPUTED_VALUE"""),"Lingüística Letras e Artes")</f>
        <v>Lingüística Letras e Artes</v>
      </c>
    </row>
    <row r="30">
      <c r="A30" s="24" t="str">
        <f>IFERROR(__xludf.DUMMYFUNCTION("""COMPUTED_VALUE"""),"A poesia popular na república das letras: Silvio Romero folclorista")</f>
        <v>A poesia popular na república das letras: Silvio Romero folclorista</v>
      </c>
      <c r="B30" s="24" t="str">
        <f>IFERROR(__xludf.DUMMYFUNCTION("""COMPUTED_VALUE"""),"Claudia Neiva de Matos")</f>
        <v>Claudia Neiva de Matos</v>
      </c>
      <c r="C30" s="24" t="str">
        <f>IFERROR(__xludf.DUMMYFUNCTION("""COMPUTED_VALUE"""),"Rio de Janeiro")</f>
        <v>Rio de Janeiro</v>
      </c>
      <c r="D30" s="24" t="str">
        <f>IFERROR(__xludf.DUMMYFUNCTION("""COMPUTED_VALUE"""),"Editora UFRJ")</f>
        <v>Editora UFRJ</v>
      </c>
      <c r="E30" s="25">
        <f>IFERROR(__xludf.DUMMYFUNCTION("""COMPUTED_VALUE"""),1993.0)</f>
        <v>1993</v>
      </c>
      <c r="F30" s="24" t="str">
        <f>IFERROR(__xludf.DUMMYFUNCTION("""COMPUTED_VALUE"""),"Análise literária; Cultura popular; Literatura brasileira; Sílvio Romero; Folclore")</f>
        <v>Análise literária; Cultura popular; Literatura brasileira; Sílvio Romero; Folclore</v>
      </c>
      <c r="G30" s="28" t="str">
        <f>IFERROR(__xludf.DUMMYFUNCTION("""COMPUTED_VALUE"""),"8585781025")</f>
        <v>8585781025</v>
      </c>
      <c r="H30" s="29" t="str">
        <f>IFERROR(__xludf.DUMMYFUNCTION("""COMPUTED_VALUE"""),"http://www.editora.ufrj.br/DynamicItems/livrosabertos-1/PoesiaPopular_compressed.pdf")</f>
        <v>http://www.editora.ufrj.br/DynamicItems/livrosabertos-1/PoesiaPopular_compressed.pdf</v>
      </c>
      <c r="I30" s="24" t="str">
        <f>IFERROR(__xludf.DUMMYFUNCTION("""COMPUTED_VALUE"""),"Lingüística Letras e Artes")</f>
        <v>Lingüística Letras e Artes</v>
      </c>
    </row>
    <row r="31">
      <c r="A31" s="24" t="str">
        <f>IFERROR(__xludf.DUMMYFUNCTION("""COMPUTED_VALUE"""),"A polifonia do samba: transformação da festa em canção popular (1917-1932")</f>
        <v>A polifonia do samba: transformação da festa em canção popular (1917-1932</v>
      </c>
      <c r="B31" s="24" t="str">
        <f>IFERROR(__xludf.DUMMYFUNCTION("""COMPUTED_VALUE"""),"Julieta Soares Alemão Silva ")</f>
        <v>Julieta Soares Alemão Silva </v>
      </c>
      <c r="C31" s="24" t="str">
        <f>IFERROR(__xludf.DUMMYFUNCTION("""COMPUTED_VALUE"""),"Dourados, MS")</f>
        <v>Dourados, MS</v>
      </c>
      <c r="D31" s="24" t="str">
        <f>IFERROR(__xludf.DUMMYFUNCTION("""COMPUTED_VALUE"""),"Ed. UFGD")</f>
        <v>Ed. UFGD</v>
      </c>
      <c r="E31" s="25">
        <f>IFERROR(__xludf.DUMMYFUNCTION("""COMPUTED_VALUE"""),2015.0)</f>
        <v>2015</v>
      </c>
      <c r="F31" s="24" t="str">
        <f>IFERROR(__xludf.DUMMYFUNCTION("""COMPUTED_VALUE"""),"Samba; Canção popular; Cultura")</f>
        <v>Samba; Canção popular; Cultura</v>
      </c>
      <c r="G31" s="28" t="str">
        <f>IFERROR(__xludf.DUMMYFUNCTION("""COMPUTED_VALUE"""),"9788581471044")</f>
        <v>9788581471044</v>
      </c>
      <c r="H31" s="29" t="str">
        <f>IFERROR(__xludf.DUMMYFUNCTION("""COMPUTED_VALUE"""),"http://omp.ufgd.edu.br/omp/index.php/livrosabertos/catalog/view/243/120/398-1")</f>
        <v>http://omp.ufgd.edu.br/omp/index.php/livrosabertos/catalog/view/243/120/398-1</v>
      </c>
      <c r="I31" s="24" t="str">
        <f>IFERROR(__xludf.DUMMYFUNCTION("""COMPUTED_VALUE"""),"Lingüística Letras e Artes")</f>
        <v>Lingüística Letras e Artes</v>
      </c>
    </row>
    <row r="32">
      <c r="A32" s="24" t="str">
        <f>IFERROR(__xludf.DUMMYFUNCTION("""COMPUTED_VALUE"""),"A prova de redação e o acesso à UFRJ: histórias e desdobramentos")</f>
        <v>A prova de redação e o acesso à UFRJ: histórias e desdobramentos</v>
      </c>
      <c r="B32" s="24" t="str">
        <f>IFERROR(__xludf.DUMMYFUNCTION("""COMPUTED_VALUE"""),"Marcelo Macedo Corrêa e Castro")</f>
        <v>Marcelo Macedo Corrêa e Castro</v>
      </c>
      <c r="C32" s="24" t="str">
        <f>IFERROR(__xludf.DUMMYFUNCTION("""COMPUTED_VALUE"""),"Rio de Janeiro")</f>
        <v>Rio de Janeiro</v>
      </c>
      <c r="D32" s="24" t="str">
        <f>IFERROR(__xludf.DUMMYFUNCTION("""COMPUTED_VALUE"""),"Editora UFRJ")</f>
        <v>Editora UFRJ</v>
      </c>
      <c r="E32" s="25">
        <f>IFERROR(__xludf.DUMMYFUNCTION("""COMPUTED_VALUE"""),2013.0)</f>
        <v>2013</v>
      </c>
      <c r="F32" s="24" t="str">
        <f>IFERROR(__xludf.DUMMYFUNCTION("""COMPUTED_VALUE"""),"Redação; Vestibular; Universidade Federal do Rio de Janeiro; Provas")</f>
        <v>Redação; Vestibular; Universidade Federal do Rio de Janeiro; Provas</v>
      </c>
      <c r="G32" s="28" t="str">
        <f>IFERROR(__xludf.DUMMYFUNCTION("""COMPUTED_VALUE"""),"9788571083721")</f>
        <v>9788571083721</v>
      </c>
      <c r="H32" s="29" t="str">
        <f>IFERROR(__xludf.DUMMYFUNCTION("""COMPUTED_VALUE"""),"http://www.editora.ufrj.br/DynamicItems/livrosabertos-1/a_prova_de_redacao_e_o_acesso_a_UFRJ.pdf")</f>
        <v>http://www.editora.ufrj.br/DynamicItems/livrosabertos-1/a_prova_de_redacao_e_o_acesso_a_UFRJ.pdf</v>
      </c>
      <c r="I32" s="24" t="str">
        <f>IFERROR(__xludf.DUMMYFUNCTION("""COMPUTED_VALUE"""),"Lingüística Letras e Artes")</f>
        <v>Lingüística Letras e Artes</v>
      </c>
    </row>
    <row r="33">
      <c r="A33" s="24" t="str">
        <f>IFERROR(__xludf.DUMMYFUNCTION("""COMPUTED_VALUE"""),"A questão do regionalismo em a mulher do garimpo, de Nenê Macaggi ")</f>
        <v>A questão do regionalismo em a mulher do garimpo, de Nenê Macaggi </v>
      </c>
      <c r="B33" s="24" t="str">
        <f>IFERROR(__xludf.DUMMYFUNCTION("""COMPUTED_VALUE"""),"Silvia Marques de Almada")</f>
        <v>Silvia Marques de Almada</v>
      </c>
      <c r="C33" s="24" t="str">
        <f>IFERROR(__xludf.DUMMYFUNCTION("""COMPUTED_VALUE"""),"Boa Vista ")</f>
        <v>Boa Vista </v>
      </c>
      <c r="D33" s="24" t="str">
        <f>IFERROR(__xludf.DUMMYFUNCTION("""COMPUTED_VALUE"""),"UFRR")</f>
        <v>UFRR</v>
      </c>
      <c r="E33" s="25">
        <f>IFERROR(__xludf.DUMMYFUNCTION("""COMPUTED_VALUE"""),2017.0)</f>
        <v>2017</v>
      </c>
      <c r="F33" s="24" t="str">
        <f>IFERROR(__xludf.DUMMYFUNCTION("""COMPUTED_VALUE"""),"Literatura regional; Biografia; Amazonas; Mulher; Garimpo")</f>
        <v>Literatura regional; Biografia; Amazonas; Mulher; Garimpo</v>
      </c>
      <c r="G33" s="28" t="str">
        <f>IFERROR(__xludf.DUMMYFUNCTION("""COMPUTED_VALUE"""),"9788582882436")</f>
        <v>9788582882436</v>
      </c>
      <c r="H33" s="29" t="str">
        <f>IFERROR(__xludf.DUMMYFUNCTION("""COMPUTED_VALUE"""),"http://ufrr.br/editora/index.php/editais?download=429")</f>
        <v>http://ufrr.br/editora/index.php/editais?download=429</v>
      </c>
      <c r="I33" s="24" t="str">
        <f>IFERROR(__xludf.DUMMYFUNCTION("""COMPUTED_VALUE"""),"Lingüística Letras e Artes")</f>
        <v>Lingüística Letras e Artes</v>
      </c>
    </row>
    <row r="34">
      <c r="A34" s="24" t="str">
        <f>IFERROR(__xludf.DUMMYFUNCTION("""COMPUTED_VALUE"""),"A rua das flores e outros contos")</f>
        <v>A rua das flores e outros contos</v>
      </c>
      <c r="B34" s="24" t="str">
        <f>IFERROR(__xludf.DUMMYFUNCTION("""COMPUTED_VALUE"""),"Iranaia Barretto Alves")</f>
        <v>Iranaia Barretto Alves</v>
      </c>
      <c r="C34" s="24" t="str">
        <f>IFERROR(__xludf.DUMMYFUNCTION("""COMPUTED_VALUE"""),"Ilhéus, BA")</f>
        <v>Ilhéus, BA</v>
      </c>
      <c r="D34" s="24" t="str">
        <f>IFERROR(__xludf.DUMMYFUNCTION("""COMPUTED_VALUE"""),"Editus")</f>
        <v>Editus</v>
      </c>
      <c r="E34" s="25">
        <f>IFERROR(__xludf.DUMMYFUNCTION("""COMPUTED_VALUE"""),2006.0)</f>
        <v>2006</v>
      </c>
      <c r="F34" s="24" t="str">
        <f>IFERROR(__xludf.DUMMYFUNCTION("""COMPUTED_VALUE"""),"Contos brasileiros")</f>
        <v>Contos brasileiros</v>
      </c>
      <c r="G34" s="28" t="str">
        <f>IFERROR(__xludf.DUMMYFUNCTION("""COMPUTED_VALUE"""),"857455118X")</f>
        <v>857455118X</v>
      </c>
      <c r="H34" s="29" t="str">
        <f>IFERROR(__xludf.DUMMYFUNCTION("""COMPUTED_VALUE"""),"http://www.uesc.br/editora/livrosdigitais/a-rua-%20flores-outros-contos.pdf")</f>
        <v>http://www.uesc.br/editora/livrosdigitais/a-rua-%20flores-outros-contos.pdf</v>
      </c>
      <c r="I34" s="24" t="str">
        <f>IFERROR(__xludf.DUMMYFUNCTION("""COMPUTED_VALUE"""),"Lingüística Letras e Artes")</f>
        <v>Lingüística Letras e Artes</v>
      </c>
    </row>
    <row r="35">
      <c r="A35" s="24" t="str">
        <f>IFERROR(__xludf.DUMMYFUNCTION("""COMPUTED_VALUE"""),"A sala: Exposições 2014: Projeto de Extensão Ações Educativas na Galeria de Arte A Sala do Centro de Artes da UFPel")</f>
        <v>A sala: Exposições 2014: Projeto de Extensão Ações Educativas na Galeria de Arte A Sala do Centro de Artes da UFPel</v>
      </c>
      <c r="B35" s="24" t="str">
        <f>IFERROR(__xludf.DUMMYFUNCTION("""COMPUTED_VALUE"""),"Pellegrin, Jose Luiz de; Gonçalves, Eduarda; Monsell, Alice Jean; Rosa, Guilherme Nunes da")</f>
        <v>Pellegrin, Jose Luiz de; Gonçalves, Eduarda; Monsell, Alice Jean; Rosa, Guilherme Nunes da</v>
      </c>
      <c r="C35" s="24" t="str">
        <f>IFERROR(__xludf.DUMMYFUNCTION("""COMPUTED_VALUE"""),"Pelotas")</f>
        <v>Pelotas</v>
      </c>
      <c r="D35" s="24" t="str">
        <f>IFERROR(__xludf.DUMMYFUNCTION("""COMPUTED_VALUE"""),"UFPel")</f>
        <v>UFPel</v>
      </c>
      <c r="E35" s="25">
        <f>IFERROR(__xludf.DUMMYFUNCTION("""COMPUTED_VALUE"""),2015.0)</f>
        <v>2015</v>
      </c>
      <c r="F35" s="24" t="str">
        <f>IFERROR(__xludf.DUMMYFUNCTION("""COMPUTED_VALUE"""),"Arte; Produção artística; A Sala; Extensão; Ação educativa")</f>
        <v>Arte; Produção artística; A Sala; Extensão; Ação educativa</v>
      </c>
      <c r="G35" s="28" t="str">
        <f>IFERROR(__xludf.DUMMYFUNCTION("""COMPUTED_VALUE"""),"9788551700099")</f>
        <v>9788551700099</v>
      </c>
      <c r="H35" s="29" t="str">
        <f>IFERROR(__xludf.DUMMYFUNCTION("""COMPUTED_VALUE"""),"http://repositorio.ufpel.edu.br:8080/bitstream/prefix/3810/6/asala_galeria_livro_final_ebook.pdf")</f>
        <v>http://repositorio.ufpel.edu.br:8080/bitstream/prefix/3810/6/asala_galeria_livro_final_ebook.pdf</v>
      </c>
      <c r="I35" s="24" t="str">
        <f>IFERROR(__xludf.DUMMYFUNCTION("""COMPUTED_VALUE"""),"Lingüística Letras e Artes")</f>
        <v>Lingüística Letras e Artes</v>
      </c>
    </row>
    <row r="36">
      <c r="A36" s="24" t="str">
        <f>IFERROR(__xludf.DUMMYFUNCTION("""COMPUTED_VALUE"""),"A tempestade = The Tempest")</f>
        <v>A tempestade = The Tempest</v>
      </c>
      <c r="B36" s="24" t="str">
        <f>IFERROR(__xludf.DUMMYFUNCTION("""COMPUTED_VALUE"""),"Shakespeare, William")</f>
        <v>Shakespeare, William</v>
      </c>
      <c r="C36" s="24" t="str">
        <f>IFERROR(__xludf.DUMMYFUNCTION("""COMPUTED_VALUE"""),"Florianópolis")</f>
        <v>Florianópolis</v>
      </c>
      <c r="D36" s="24" t="str">
        <f>IFERROR(__xludf.DUMMYFUNCTION("""COMPUTED_VALUE"""),"Editora da UFSC")</f>
        <v>Editora da UFSC</v>
      </c>
      <c r="E36" s="25">
        <f>IFERROR(__xludf.DUMMYFUNCTION("""COMPUTED_VALUE"""),2014.0)</f>
        <v>2014</v>
      </c>
      <c r="F36" s="24" t="str">
        <f>IFERROR(__xludf.DUMMYFUNCTION("""COMPUTED_VALUE"""),"Literatura inglesa;Teatro inglês;Música inglesa;Partituras")</f>
        <v>Literatura inglesa;Teatro inglês;Música inglesa;Partituras</v>
      </c>
      <c r="G36" s="28" t="str">
        <f>IFERROR(__xludf.DUMMYFUNCTION("""COMPUTED_VALUE"""),"9788532806703")</f>
        <v>9788532806703</v>
      </c>
      <c r="H36" s="29" t="str">
        <f>IFERROR(__xludf.DUMMYFUNCTION("""COMPUTED_VALUE"""),"https://repositorio.ufsc.br/handle/123456789/187470")</f>
        <v>https://repositorio.ufsc.br/handle/123456789/187470</v>
      </c>
      <c r="I36" s="24" t="str">
        <f>IFERROR(__xludf.DUMMYFUNCTION("""COMPUTED_VALUE"""),"Lingüística Letras e Artes")</f>
        <v>Lingüística Letras e Artes</v>
      </c>
    </row>
    <row r="37">
      <c r="A37" s="24" t="str">
        <f>IFERROR(__xludf.DUMMYFUNCTION("""COMPUTED_VALUE"""),"A tradição circum-Roraima: Canaima e a Venezuela")</f>
        <v>A tradição circum-Roraima: Canaima e a Venezuela</v>
      </c>
      <c r="B37" s="24" t="str">
        <f>IFERROR(__xludf.DUMMYFUNCTION("""COMPUTED_VALUE"""),"Riane de Deus Lima.")</f>
        <v>Riane de Deus Lima.</v>
      </c>
      <c r="C37" s="24" t="str">
        <f>IFERROR(__xludf.DUMMYFUNCTION("""COMPUTED_VALUE"""),"Boa Vista ")</f>
        <v>Boa Vista </v>
      </c>
      <c r="D37" s="24" t="str">
        <f>IFERROR(__xludf.DUMMYFUNCTION("""COMPUTED_VALUE"""),"UFRR")</f>
        <v>UFRR</v>
      </c>
      <c r="E37" s="25">
        <f>IFERROR(__xludf.DUMMYFUNCTION("""COMPUTED_VALUE"""),2017.0)</f>
        <v>2017</v>
      </c>
      <c r="F37" s="24" t="str">
        <f>IFERROR(__xludf.DUMMYFUNCTION("""COMPUTED_VALUE"""),"Teoria literária; Cultura; Circum-Roraima; Fronteiras")</f>
        <v>Teoria literária; Cultura; Circum-Roraima; Fronteiras</v>
      </c>
      <c r="G37" s="28" t="str">
        <f>IFERROR(__xludf.DUMMYFUNCTION("""COMPUTED_VALUE"""),"9788582882450")</f>
        <v>9788582882450</v>
      </c>
      <c r="H37" s="29" t="str">
        <f>IFERROR(__xludf.DUMMYFUNCTION("""COMPUTED_VALUE"""),"http://ufrr.br/editora/index.php/editais?download=430")</f>
        <v>http://ufrr.br/editora/index.php/editais?download=430</v>
      </c>
      <c r="I37" s="24" t="str">
        <f>IFERROR(__xludf.DUMMYFUNCTION("""COMPUTED_VALUE"""),"Lingüística Letras e Artes")</f>
        <v>Lingüística Letras e Artes</v>
      </c>
    </row>
    <row r="38">
      <c r="A38" s="24" t="str">
        <f>IFERROR(__xludf.DUMMYFUNCTION("""COMPUTED_VALUE"""),"A tragédia de Macbeth = The Tragedy of Macbeth")</f>
        <v>A tragédia de Macbeth = The Tragedy of Macbeth</v>
      </c>
      <c r="B38" s="24" t="str">
        <f>IFERROR(__xludf.DUMMYFUNCTION("""COMPUTED_VALUE"""),"Shakespeare, William")</f>
        <v>Shakespeare, William</v>
      </c>
      <c r="C38" s="24" t="str">
        <f>IFERROR(__xludf.DUMMYFUNCTION("""COMPUTED_VALUE"""),"Florianópolis")</f>
        <v>Florianópolis</v>
      </c>
      <c r="D38" s="24" t="str">
        <f>IFERROR(__xludf.DUMMYFUNCTION("""COMPUTED_VALUE"""),"Editora da UFSC")</f>
        <v>Editora da UFSC</v>
      </c>
      <c r="E38" s="25">
        <f>IFERROR(__xludf.DUMMYFUNCTION("""COMPUTED_VALUE"""),2016.0)</f>
        <v>2016</v>
      </c>
      <c r="F38" s="24" t="str">
        <f>IFERROR(__xludf.DUMMYFUNCTION("""COMPUTED_VALUE"""),"Literatura inglesa;Teatro inglês;Tragédia")</f>
        <v>Literatura inglesa;Teatro inglês;Tragédia</v>
      </c>
      <c r="G38" s="28" t="str">
        <f>IFERROR(__xludf.DUMMYFUNCTION("""COMPUTED_VALUE"""),"9788532807847")</f>
        <v>9788532807847</v>
      </c>
      <c r="H38" s="29" t="str">
        <f>IFERROR(__xludf.DUMMYFUNCTION("""COMPUTED_VALUE"""),"https://repositorio.ufsc.br/handle/123456789/187471")</f>
        <v>https://repositorio.ufsc.br/handle/123456789/187471</v>
      </c>
      <c r="I38" s="24" t="str">
        <f>IFERROR(__xludf.DUMMYFUNCTION("""COMPUTED_VALUE"""),"Lingüística Letras e Artes")</f>
        <v>Lingüística Letras e Artes</v>
      </c>
    </row>
    <row r="39">
      <c r="A39" s="24" t="str">
        <f>IFERROR(__xludf.DUMMYFUNCTION("""COMPUTED_VALUE"""),"A viagem")</f>
        <v>A viagem</v>
      </c>
      <c r="B39" s="24" t="str">
        <f>IFERROR(__xludf.DUMMYFUNCTION("""COMPUTED_VALUE"""),"Leônidas Azevedo Filho; ilustração Bruno Santana.")</f>
        <v>Leônidas Azevedo Filho; ilustração Bruno Santana.</v>
      </c>
      <c r="C39" s="24" t="str">
        <f>IFERROR(__xludf.DUMMYFUNCTION("""COMPUTED_VALUE"""),"Ilhéus, BA")</f>
        <v>Ilhéus, BA</v>
      </c>
      <c r="D39" s="24" t="str">
        <f>IFERROR(__xludf.DUMMYFUNCTION("""COMPUTED_VALUE"""),"Editus")</f>
        <v>Editus</v>
      </c>
      <c r="E39" s="25">
        <f>IFERROR(__xludf.DUMMYFUNCTION("""COMPUTED_VALUE"""),2014.0)</f>
        <v>2014</v>
      </c>
      <c r="F39" s="24" t="str">
        <f>IFERROR(__xludf.DUMMYFUNCTION("""COMPUTED_VALUE"""),"Literatura infanto-juvenil brasileira")</f>
        <v>Literatura infanto-juvenil brasileira</v>
      </c>
      <c r="G39" s="28" t="str">
        <f>IFERROR(__xludf.DUMMYFUNCTION("""COMPUTED_VALUE"""),"9788574552323")</f>
        <v>9788574552323</v>
      </c>
      <c r="H39" s="29" t="str">
        <f>IFERROR(__xludf.DUMMYFUNCTION("""COMPUTED_VALUE"""),"http://www.uesc.br/editora/livrosdigitais2017/a_viagem.pdf")</f>
        <v>http://www.uesc.br/editora/livrosdigitais2017/a_viagem.pdf</v>
      </c>
      <c r="I39" s="24" t="str">
        <f>IFERROR(__xludf.DUMMYFUNCTION("""COMPUTED_VALUE"""),"Lingüística Letras e Artes")</f>
        <v>Lingüística Letras e Artes</v>
      </c>
    </row>
    <row r="40">
      <c r="A40" s="24" t="str">
        <f>IFERROR(__xludf.DUMMYFUNCTION("""COMPUTED_VALUE"""),"A viagem de Orixalá: estrada de Sagitário, caminhos de Orunmilá")</f>
        <v>A viagem de Orixalá: estrada de Sagitário, caminhos de Orunmilá</v>
      </c>
      <c r="B40" s="24" t="str">
        <f>IFERROR(__xludf.DUMMYFUNCTION("""COMPUTED_VALUE"""),"Ruy do Carmo Póvoas")</f>
        <v>Ruy do Carmo Póvoas</v>
      </c>
      <c r="C40" s="24" t="str">
        <f>IFERROR(__xludf.DUMMYFUNCTION("""COMPUTED_VALUE"""),"Ilhéus, BA")</f>
        <v>Ilhéus, BA</v>
      </c>
      <c r="D40" s="24" t="str">
        <f>IFERROR(__xludf.DUMMYFUNCTION("""COMPUTED_VALUE"""),"Editus")</f>
        <v>Editus</v>
      </c>
      <c r="E40" s="25">
        <f>IFERROR(__xludf.DUMMYFUNCTION("""COMPUTED_VALUE"""),2015.0)</f>
        <v>2015</v>
      </c>
      <c r="F40" s="24" t="str">
        <f>IFERROR(__xludf.DUMMYFUNCTION("""COMPUTED_VALUE"""),"Ficção brasileira; Literatura brasileira; Orixás")</f>
        <v>Ficção brasileira; Literatura brasileira; Orixás</v>
      </c>
      <c r="G40" s="28" t="str">
        <f>IFERROR(__xludf.DUMMYFUNCTION("""COMPUTED_VALUE"""),"9788574553856")</f>
        <v>9788574553856</v>
      </c>
      <c r="H40" s="29" t="str">
        <f>IFERROR(__xludf.DUMMYFUNCTION("""COMPUTED_VALUE"""),"http://www.uesc.br/editora/livrosdigitais2016/a_viagem_de_orixala.pdf")</f>
        <v>http://www.uesc.br/editora/livrosdigitais2016/a_viagem_de_orixala.pdf</v>
      </c>
      <c r="I40" s="24" t="str">
        <f>IFERROR(__xludf.DUMMYFUNCTION("""COMPUTED_VALUE"""),"Lingüística Letras e Artes")</f>
        <v>Lingüística Letras e Artes</v>
      </c>
    </row>
    <row r="41">
      <c r="A41" s="24" t="str">
        <f>IFERROR(__xludf.DUMMYFUNCTION("""COMPUTED_VALUE"""),"A violência das letras – Amizade e inimizade na literatura brasileira (1888-1940)")</f>
        <v>A violência das letras – Amizade e inimizade na literatura brasileira (1888-1940)</v>
      </c>
      <c r="B41" s="24" t="str">
        <f>IFERROR(__xludf.DUMMYFUNCTION("""COMPUTED_VALUE"""),"César Braga-Pinto")</f>
        <v>César Braga-Pinto</v>
      </c>
      <c r="C41" s="24" t="str">
        <f>IFERROR(__xludf.DUMMYFUNCTION("""COMPUTED_VALUE"""),"Rio de Janeiro")</f>
        <v>Rio de Janeiro</v>
      </c>
      <c r="D41" s="24" t="str">
        <f>IFERROR(__xludf.DUMMYFUNCTION("""COMPUTED_VALUE"""),"EdUERJ")</f>
        <v>EdUERJ</v>
      </c>
      <c r="E41" s="25">
        <f>IFERROR(__xludf.DUMMYFUNCTION("""COMPUTED_VALUE"""),2018.0)</f>
        <v>2018</v>
      </c>
      <c r="F41" s="24" t="str">
        <f>IFERROR(__xludf.DUMMYFUNCTION("""COMPUTED_VALUE"""),"Literatura brasileira; Escritores brasileiros; Literatura")</f>
        <v>Literatura brasileira; Escritores brasileiros; Literatura</v>
      </c>
      <c r="G41" s="28" t="str">
        <f>IFERROR(__xludf.DUMMYFUNCTION("""COMPUTED_VALUE"""),"9788575114605")</f>
        <v>9788575114605</v>
      </c>
      <c r="H41" s="29" t="str">
        <f>IFERROR(__xludf.DUMMYFUNCTION("""COMPUTED_VALUE"""),"https://www.eduerj.com/eng/?product=a-violencia-das-letras-amizade-e-inimizade-na-literatura-brasileira-1888-1940-ebook")</f>
        <v>https://www.eduerj.com/eng/?product=a-violencia-das-letras-amizade-e-inimizade-na-literatura-brasileira-1888-1940-ebook</v>
      </c>
      <c r="I41" s="24" t="str">
        <f>IFERROR(__xludf.DUMMYFUNCTION("""COMPUTED_VALUE"""),"Lingüística Letras e Artes")</f>
        <v>Lingüística Letras e Artes</v>
      </c>
    </row>
    <row r="42">
      <c r="A42" s="24" t="str">
        <f>IFERROR(__xludf.DUMMYFUNCTION("""COMPUTED_VALUE"""),"Abelardo e o Curupira")</f>
        <v>Abelardo e o Curupira</v>
      </c>
      <c r="B42" s="24" t="str">
        <f>IFERROR(__xludf.DUMMYFUNCTION("""COMPUTED_VALUE"""),"Enilson Amorim")</f>
        <v>Enilson Amorim</v>
      </c>
      <c r="C42" s="24" t="str">
        <f>IFERROR(__xludf.DUMMYFUNCTION("""COMPUTED_VALUE"""),"Rio Branco")</f>
        <v>Rio Branco</v>
      </c>
      <c r="D42" s="24" t="str">
        <f>IFERROR(__xludf.DUMMYFUNCTION("""COMPUTED_VALUE"""),"Edufac")</f>
        <v>Edufac</v>
      </c>
      <c r="E42" s="25">
        <f>IFERROR(__xludf.DUMMYFUNCTION("""COMPUTED_VALUE"""),2017.0)</f>
        <v>2017</v>
      </c>
      <c r="F42" s="24" t="str">
        <f>IFERROR(__xludf.DUMMYFUNCTION("""COMPUTED_VALUE"""),"Literatura infantil")</f>
        <v>Literatura infantil</v>
      </c>
      <c r="G42" s="28" t="str">
        <f>IFERROR(__xludf.DUMMYFUNCTION("""COMPUTED_VALUE"""),"9788582360484")</f>
        <v>9788582360484</v>
      </c>
      <c r="H42" s="29" t="str">
        <f>IFERROR(__xludf.DUMMYFUNCTION("""COMPUTED_VALUE"""),"http://www2.ufac.br/editora/livros/abelardo-e-o-curupira.pdf")</f>
        <v>http://www2.ufac.br/editora/livros/abelardo-e-o-curupira.pdf</v>
      </c>
      <c r="I42" s="24" t="str">
        <f>IFERROR(__xludf.DUMMYFUNCTION("""COMPUTED_VALUE"""),"Lingüística Letras e Artes")</f>
        <v>Lingüística Letras e Artes</v>
      </c>
    </row>
    <row r="43">
      <c r="A43" s="24" t="str">
        <f>IFERROR(__xludf.DUMMYFUNCTION("""COMPUTED_VALUE"""),"Água corrente")</f>
        <v>Água corrente</v>
      </c>
      <c r="B43" s="24" t="str">
        <f>IFERROR(__xludf.DUMMYFUNCTION("""COMPUTED_VALUE"""),"Clarêncio Gomes Baracho")</f>
        <v>Clarêncio Gomes Baracho</v>
      </c>
      <c r="C43" s="24" t="str">
        <f>IFERROR(__xludf.DUMMYFUNCTION("""COMPUTED_VALUE"""),"Ilhéus, BA")</f>
        <v>Ilhéus, BA</v>
      </c>
      <c r="D43" s="24" t="str">
        <f>IFERROR(__xludf.DUMMYFUNCTION("""COMPUTED_VALUE"""),"Editus")</f>
        <v>Editus</v>
      </c>
      <c r="E43" s="25">
        <f>IFERROR(__xludf.DUMMYFUNCTION("""COMPUTED_VALUE"""),2016.0)</f>
        <v>2016</v>
      </c>
      <c r="F43" s="24" t="str">
        <f>IFERROR(__xludf.DUMMYFUNCTION("""COMPUTED_VALUE"""),"Poesia brasileira")</f>
        <v>Poesia brasileira</v>
      </c>
      <c r="G43" s="28" t="str">
        <f>IFERROR(__xludf.DUMMYFUNCTION("""COMPUTED_VALUE"""),"9788574554280")</f>
        <v>9788574554280</v>
      </c>
      <c r="H43" s="29" t="str">
        <f>IFERROR(__xludf.DUMMYFUNCTION("""COMPUTED_VALUE"""),"http://www.uesc.br/editora/livrosdigitais2017/agua_corrente.pdf")</f>
        <v>http://www.uesc.br/editora/livrosdigitais2017/agua_corrente.pdf</v>
      </c>
      <c r="I43" s="24" t="str">
        <f>IFERROR(__xludf.DUMMYFUNCTION("""COMPUTED_VALUE"""),"Lingüística Letras e Artes")</f>
        <v>Lingüística Letras e Artes</v>
      </c>
    </row>
    <row r="44">
      <c r="A44" s="24" t="str">
        <f>IFERROR(__xludf.DUMMYFUNCTION("""COMPUTED_VALUE"""),"Ainda é tempo de Viver: Núcleo de extensão do IFPB")</f>
        <v>Ainda é tempo de Viver: Núcleo de extensão do IFPB</v>
      </c>
      <c r="B44" s="24" t="str">
        <f>IFERROR(__xludf.DUMMYFUNCTION("""COMPUTED_VALUE"""),"Beatriz Alves de Sousa")</f>
        <v>Beatriz Alves de Sousa</v>
      </c>
      <c r="C44" s="24" t="str">
        <f>IFERROR(__xludf.DUMMYFUNCTION("""COMPUTED_VALUE"""),"João Pessoa")</f>
        <v>João Pessoa</v>
      </c>
      <c r="D44" s="24" t="str">
        <f>IFERROR(__xludf.DUMMYFUNCTION("""COMPUTED_VALUE"""),"Editora IFPB")</f>
        <v>Editora IFPB</v>
      </c>
      <c r="E44" s="25">
        <f>IFERROR(__xludf.DUMMYFUNCTION("""COMPUTED_VALUE"""),2017.0)</f>
        <v>2017</v>
      </c>
      <c r="F44" s="24" t="str">
        <f>IFERROR(__xludf.DUMMYFUNCTION("""COMPUTED_VALUE"""),"Extensão /IFPB; Idoso; Núcleo da rede rizoma ")</f>
        <v>Extensão /IFPB; Idoso; Núcleo da rede rizoma </v>
      </c>
      <c r="G44" s="28" t="str">
        <f>IFERROR(__xludf.DUMMYFUNCTION("""COMPUTED_VALUE"""),"9788563406989")</f>
        <v>9788563406989</v>
      </c>
      <c r="H44" s="29" t="str">
        <f>IFERROR(__xludf.DUMMYFUNCTION("""COMPUTED_VALUE"""),"http://editora.ifpb.edu.br/index.php/ifpb/catalog/book/112")</f>
        <v>http://editora.ifpb.edu.br/index.php/ifpb/catalog/book/112</v>
      </c>
      <c r="I44" s="24" t="str">
        <f>IFERROR(__xludf.DUMMYFUNCTION("""COMPUTED_VALUE"""),"Lingüística Letras e Artes")</f>
        <v>Lingüística Letras e Artes</v>
      </c>
    </row>
    <row r="45">
      <c r="A45" s="24" t="str">
        <f>IFERROR(__xludf.DUMMYFUNCTION("""COMPUTED_VALUE"""),"Alforrias ")</f>
        <v>Alforrias </v>
      </c>
      <c r="B45" s="24" t="str">
        <f>IFERROR(__xludf.DUMMYFUNCTION("""COMPUTED_VALUE"""),"Rita Santana")</f>
        <v>Rita Santana</v>
      </c>
      <c r="C45" s="24" t="str">
        <f>IFERROR(__xludf.DUMMYFUNCTION("""COMPUTED_VALUE"""),"Ilhéus, BA")</f>
        <v>Ilhéus, BA</v>
      </c>
      <c r="D45" s="24" t="str">
        <f>IFERROR(__xludf.DUMMYFUNCTION("""COMPUTED_VALUE"""),"Editus")</f>
        <v>Editus</v>
      </c>
      <c r="E45" s="25">
        <f>IFERROR(__xludf.DUMMYFUNCTION("""COMPUTED_VALUE"""),2012.0)</f>
        <v>2012</v>
      </c>
      <c r="F45" s="24" t="str">
        <f>IFERROR(__xludf.DUMMYFUNCTION("""COMPUTED_VALUE"""),"Poesia brasileira")</f>
        <v>Poesia brasileira</v>
      </c>
      <c r="G45" s="28" t="str">
        <f>IFERROR(__xludf.DUMMYFUNCTION("""COMPUTED_VALUE"""),"9788574552712")</f>
        <v>9788574552712</v>
      </c>
      <c r="H45" s="29" t="str">
        <f>IFERROR(__xludf.DUMMYFUNCTION("""COMPUTED_VALUE"""),"http://www.uesc.br/editora/livrosdigitais2015/alforrias.pdf")</f>
        <v>http://www.uesc.br/editora/livrosdigitais2015/alforrias.pdf</v>
      </c>
      <c r="I45" s="24" t="str">
        <f>IFERROR(__xludf.DUMMYFUNCTION("""COMPUTED_VALUE"""),"Lingüística Letras e Artes")</f>
        <v>Lingüística Letras e Artes</v>
      </c>
    </row>
    <row r="46">
      <c r="A46" s="24" t="str">
        <f>IFERROR(__xludf.DUMMYFUNCTION("""COMPUTED_VALUE"""),"Algaravia: discursos de nação")</f>
        <v>Algaravia: discursos de nação</v>
      </c>
      <c r="B46" s="24" t="str">
        <f>IFERROR(__xludf.DUMMYFUNCTION("""COMPUTED_VALUE"""),"Antelo, Raúl")</f>
        <v>Antelo, Raúl</v>
      </c>
      <c r="C46" s="24" t="str">
        <f>IFERROR(__xludf.DUMMYFUNCTION("""COMPUTED_VALUE"""),"Florianópolis")</f>
        <v>Florianópolis</v>
      </c>
      <c r="D46" s="24" t="str">
        <f>IFERROR(__xludf.DUMMYFUNCTION("""COMPUTED_VALUE"""),"Editora da UFSC")</f>
        <v>Editora da UFSC</v>
      </c>
      <c r="E46" s="25">
        <f>IFERROR(__xludf.DUMMYFUNCTION("""COMPUTED_VALUE"""),2010.0)</f>
        <v>2010</v>
      </c>
      <c r="F46" s="24" t="str">
        <f>IFERROR(__xludf.DUMMYFUNCTION("""COMPUTED_VALUE"""),"Literatura brasileira;Ficção brasileira;Nacionalismo na literatura;História crítica")</f>
        <v>Literatura brasileira;Ficção brasileira;Nacionalismo na literatura;História crítica</v>
      </c>
      <c r="G46" s="28" t="str">
        <f>IFERROR(__xludf.DUMMYFUNCTION("""COMPUTED_VALUE"""),"9788532805171")</f>
        <v>9788532805171</v>
      </c>
      <c r="H46" s="29" t="str">
        <f>IFERROR(__xludf.DUMMYFUNCTION("""COMPUTED_VALUE"""),"https://repositorio.ufsc.br/handle/123456789/187696")</f>
        <v>https://repositorio.ufsc.br/handle/123456789/187696</v>
      </c>
      <c r="I46" s="24" t="str">
        <f>IFERROR(__xludf.DUMMYFUNCTION("""COMPUTED_VALUE"""),"Lingüística Letras e Artes")</f>
        <v>Lingüística Letras e Artes</v>
      </c>
    </row>
    <row r="47">
      <c r="A47" s="24" t="str">
        <f>IFERROR(__xludf.DUMMYFUNCTION("""COMPUTED_VALUE"""),"Alusão e intertexto: a dinâmica da apropriação em Morte e vidaseverina")</f>
        <v>Alusão e intertexto: a dinâmica da apropriação em Morte e vidaseverina</v>
      </c>
      <c r="B47" s="24" t="str">
        <f>IFERROR(__xludf.DUMMYFUNCTION("""COMPUTED_VALUE"""),"Braz Pinto Junio")</f>
        <v>Braz Pinto Junio</v>
      </c>
      <c r="C47" s="24" t="str">
        <f>IFERROR(__xludf.DUMMYFUNCTION("""COMPUTED_VALUE"""),"Dourados, MS")</f>
        <v>Dourados, MS</v>
      </c>
      <c r="D47" s="24" t="str">
        <f>IFERROR(__xludf.DUMMYFUNCTION("""COMPUTED_VALUE"""),"Ed. UFGD")</f>
        <v>Ed. UFGD</v>
      </c>
      <c r="E47" s="25">
        <f>IFERROR(__xludf.DUMMYFUNCTION("""COMPUTED_VALUE"""),2014.0)</f>
        <v>2014</v>
      </c>
      <c r="F47" s="24" t="str">
        <f>IFERROR(__xludf.DUMMYFUNCTION("""COMPUTED_VALUE"""),"Intertextualidade poética; Drama poético; Tradiçãoliterária ")</f>
        <v>Intertextualidade poética; Drama poético; Tradiçãoliterária </v>
      </c>
      <c r="G47" s="28" t="str">
        <f>IFERROR(__xludf.DUMMYFUNCTION("""COMPUTED_VALUE"""),"9788581470733")</f>
        <v>9788581470733</v>
      </c>
      <c r="H47" s="29" t="str">
        <f>IFERROR(__xludf.DUMMYFUNCTION("""COMPUTED_VALUE"""),"http://omp.ufgd.edu.br/omp/index.php/livrosabertos/catalog/view/32/36/107-1")</f>
        <v>http://omp.ufgd.edu.br/omp/index.php/livrosabertos/catalog/view/32/36/107-1</v>
      </c>
      <c r="I47" s="24" t="str">
        <f>IFERROR(__xludf.DUMMYFUNCTION("""COMPUTED_VALUE"""),"Lingüística Letras e Artes")</f>
        <v>Lingüística Letras e Artes</v>
      </c>
    </row>
    <row r="48">
      <c r="A48" s="24" t="str">
        <f>IFERROR(__xludf.DUMMYFUNCTION("""COMPUTED_VALUE"""),"Amapá")</f>
        <v>Amapá</v>
      </c>
      <c r="B48" s="24" t="str">
        <f>IFERROR(__xludf.DUMMYFUNCTION("""COMPUTED_VALUE"""),"Luciana Macêdo")</f>
        <v>Luciana Macêdo</v>
      </c>
      <c r="C48" s="24" t="str">
        <f>IFERROR(__xludf.DUMMYFUNCTION("""COMPUTED_VALUE"""),"Macapá")</f>
        <v>Macapá</v>
      </c>
      <c r="D48" s="24" t="str">
        <f>IFERROR(__xludf.DUMMYFUNCTION("""COMPUTED_VALUE"""),"UNIFAP")</f>
        <v>UNIFAP</v>
      </c>
      <c r="E48" s="25">
        <f>IFERROR(__xludf.DUMMYFUNCTION("""COMPUTED_VALUE"""),2019.0)</f>
        <v>2019</v>
      </c>
      <c r="F48" s="24" t="str">
        <f>IFERROR(__xludf.DUMMYFUNCTION("""COMPUTED_VALUE"""),"Fotografia;Turismo; Amapá")</f>
        <v>Fotografia;Turismo; Amapá</v>
      </c>
      <c r="G48" s="28" t="str">
        <f>IFERROR(__xludf.DUMMYFUNCTION("""COMPUTED_VALUE"""),"9788554760632")</f>
        <v>9788554760632</v>
      </c>
      <c r="H48" s="29" t="str">
        <f>IFERROR(__xludf.DUMMYFUNCTION("""COMPUTED_VALUE"""),"https://www2.unifap.br/editora/files/2019/07/amapa.pdf")</f>
        <v>https://www2.unifap.br/editora/files/2019/07/amapa.pdf</v>
      </c>
      <c r="I48" s="24" t="str">
        <f>IFERROR(__xludf.DUMMYFUNCTION("""COMPUTED_VALUE"""),"Lingüística Letras e Artes")</f>
        <v>Lingüística Letras e Artes</v>
      </c>
    </row>
    <row r="49">
      <c r="A49" s="24" t="str">
        <f>IFERROR(__xludf.DUMMYFUNCTION("""COMPUTED_VALUE"""),"América latina, literatura e política: abordagens transdisciplinares")</f>
        <v>América latina, literatura e política: abordagens transdisciplinares</v>
      </c>
      <c r="B49" s="24" t="str">
        <f>IFERROR(__xludf.DUMMYFUNCTION("""COMPUTED_VALUE"""),"Luís Eustáquio Soares")</f>
        <v>Luís Eustáquio Soares</v>
      </c>
      <c r="C49" s="24" t="str">
        <f>IFERROR(__xludf.DUMMYFUNCTION("""COMPUTED_VALUE"""),"Vitória")</f>
        <v>Vitória</v>
      </c>
      <c r="D49" s="24" t="str">
        <f>IFERROR(__xludf.DUMMYFUNCTION("""COMPUTED_VALUE"""),"EDUFES")</f>
        <v>EDUFES</v>
      </c>
      <c r="E49" s="25">
        <f>IFERROR(__xludf.DUMMYFUNCTION("""COMPUTED_VALUE"""),2013.0)</f>
        <v>2013</v>
      </c>
      <c r="F49" s="24" t="str">
        <f>IFERROR(__xludf.DUMMYFUNCTION("""COMPUTED_VALUE"""),"Literatura latino-americana - História e crítica; Literatura brasileira; Literatura; Modernismo")</f>
        <v>Literatura latino-americana - História e crítica; Literatura brasileira; Literatura; Modernismo</v>
      </c>
      <c r="G49" s="28" t="str">
        <f>IFERROR(__xludf.DUMMYFUNCTION("""COMPUTED_VALUE"""),"9788577721412")</f>
        <v>9788577721412</v>
      </c>
      <c r="H49" s="29" t="str">
        <f>IFERROR(__xludf.DUMMYFUNCTION("""COMPUTED_VALUE"""),"http://repositorio.ufes.br/bitstream/10/804/1/livro%20edufes%20America%20Latina%20Literatura%20e%20Politica%20abordagens%20transdiciplinares.pdf")</f>
        <v>http://repositorio.ufes.br/bitstream/10/804/1/livro%20edufes%20America%20Latina%20Literatura%20e%20Politica%20abordagens%20transdiciplinares.pdf</v>
      </c>
      <c r="I49" s="24" t="str">
        <f>IFERROR(__xludf.DUMMYFUNCTION("""COMPUTED_VALUE"""),"Lingüística Letras e Artes")</f>
        <v>Lingüística Letras e Artes</v>
      </c>
    </row>
    <row r="50">
      <c r="A50" s="24" t="str">
        <f>IFERROR(__xludf.DUMMYFUNCTION("""COMPUTED_VALUE"""),"Americanismo e nacionalismo musicais na correspondência de Curt Langee Camargo Guarnieri (1934-1956)")</f>
        <v>Americanismo e nacionalismo musicais na correspondência de Curt Langee Camargo Guarnieri (1934-1956)</v>
      </c>
      <c r="B50" s="24" t="str">
        <f>IFERROR(__xludf.DUMMYFUNCTION("""COMPUTED_VALUE"""),"César Maia Buscacio")</f>
        <v>César Maia Buscacio</v>
      </c>
      <c r="C50" s="24" t="str">
        <f>IFERROR(__xludf.DUMMYFUNCTION("""COMPUTED_VALUE"""),"Rio de Janeiro")</f>
        <v>Rio de Janeiro</v>
      </c>
      <c r="D50" s="24" t="str">
        <f>IFERROR(__xludf.DUMMYFUNCTION("""COMPUTED_VALUE"""),"UFOP")</f>
        <v>UFOP</v>
      </c>
      <c r="E50" s="25">
        <f>IFERROR(__xludf.DUMMYFUNCTION("""COMPUTED_VALUE"""),2010.0)</f>
        <v>2010</v>
      </c>
      <c r="F50" s="24" t="str">
        <f>IFERROR(__xludf.DUMMYFUNCTION("""COMPUTED_VALUE"""),"Música Brasileira. Americanismo Musical. Nacionalismo Musical")</f>
        <v>Música Brasileira. Americanismo Musical. Nacionalismo Musical</v>
      </c>
      <c r="G50" s="28" t="str">
        <f>IFERROR(__xludf.DUMMYFUNCTION("""COMPUTED_VALUE"""),"9788528800760")</f>
        <v>9788528800760</v>
      </c>
      <c r="H50" s="29" t="str">
        <f>IFERROR(__xludf.DUMMYFUNCTION("""COMPUTED_VALUE"""),"https://www.editora.ufop.br/index.php/editora/catalog/view/29/18/63-1")</f>
        <v>https://www.editora.ufop.br/index.php/editora/catalog/view/29/18/63-1</v>
      </c>
      <c r="I50" s="24" t="str">
        <f>IFERROR(__xludf.DUMMYFUNCTION("""COMPUTED_VALUE"""),"Lingüística Letras e Artes")</f>
        <v>Lingüística Letras e Artes</v>
      </c>
    </row>
    <row r="51">
      <c r="A51" s="24" t="str">
        <f>IFERROR(__xludf.DUMMYFUNCTION("""COMPUTED_VALUE"""),"Amor d’esposo: narrativa histórica (disponível temporariamente)")</f>
        <v>Amor d’esposo: narrativa histórica (disponível temporariamente)</v>
      </c>
      <c r="B51" s="24" t="str">
        <f>IFERROR(__xludf.DUMMYFUNCTION("""COMPUTED_VALUE"""),"Pedro Américo de Figueiredo e Melo")</f>
        <v>Pedro Américo de Figueiredo e Melo</v>
      </c>
      <c r="C51" s="24" t="str">
        <f>IFERROR(__xludf.DUMMYFUNCTION("""COMPUTED_VALUE"""),"João Pessoa")</f>
        <v>João Pessoa</v>
      </c>
      <c r="D51" s="24" t="str">
        <f>IFERROR(__xludf.DUMMYFUNCTION("""COMPUTED_VALUE"""),"Editora da UFPB")</f>
        <v>Editora da UFPB</v>
      </c>
      <c r="E51" s="25">
        <f>IFERROR(__xludf.DUMMYFUNCTION("""COMPUTED_VALUE"""),2019.0)</f>
        <v>2019</v>
      </c>
      <c r="F51" s="24" t="str">
        <f>IFERROR(__xludf.DUMMYFUNCTION("""COMPUTED_VALUE"""),"Literatura Brasileira - Romance")</f>
        <v>Literatura Brasileira - Romance</v>
      </c>
      <c r="G51" s="28" t="str">
        <f>IFERROR(__xludf.DUMMYFUNCTION("""COMPUTED_VALUE"""),"9788523714253")</f>
        <v>9788523714253</v>
      </c>
      <c r="H51" s="34" t="str">
        <f>IFERROR(__xludf.DUMMYFUNCTION("""COMPUTED_VALUE"""),"http://www.editora.ufpb.br/sistema/press5/index.php/UFPB/catalog/book/316")</f>
        <v>http://www.editora.ufpb.br/sistema/press5/index.php/UFPB/catalog/book/316</v>
      </c>
      <c r="I51" s="24" t="str">
        <f>IFERROR(__xludf.DUMMYFUNCTION("""COMPUTED_VALUE"""),"Lingüística Letras e Artes")</f>
        <v>Lingüística Letras e Artes</v>
      </c>
    </row>
    <row r="52">
      <c r="A52" s="24" t="str">
        <f>IFERROR(__xludf.DUMMYFUNCTION("""COMPUTED_VALUE"""),"Animal")</f>
        <v>Animal</v>
      </c>
      <c r="B52" s="24" t="str">
        <f>IFERROR(__xludf.DUMMYFUNCTION("""COMPUTED_VALUE"""),"Luciana Macêdo ")</f>
        <v>Luciana Macêdo </v>
      </c>
      <c r="C52" s="24" t="str">
        <f>IFERROR(__xludf.DUMMYFUNCTION("""COMPUTED_VALUE"""),"Macapá")</f>
        <v>Macapá</v>
      </c>
      <c r="D52" s="24" t="str">
        <f>IFERROR(__xludf.DUMMYFUNCTION("""COMPUTED_VALUE"""),"UNIFAP")</f>
        <v>UNIFAP</v>
      </c>
      <c r="E52" s="25">
        <f>IFERROR(__xludf.DUMMYFUNCTION("""COMPUTED_VALUE"""),2020.0)</f>
        <v>2020</v>
      </c>
      <c r="F52" s="24" t="str">
        <f>IFERROR(__xludf.DUMMYFUNCTION("""COMPUTED_VALUE"""),"Fotografia; Fauna; Animal")</f>
        <v>Fotografia; Fauna; Animal</v>
      </c>
      <c r="G52" s="28" t="str">
        <f>IFERROR(__xludf.DUMMYFUNCTION("""COMPUTED_VALUE"""),"9788554760632")</f>
        <v>9788554760632</v>
      </c>
      <c r="H52" s="29" t="str">
        <f>IFERROR(__xludf.DUMMYFUNCTION("""COMPUTED_VALUE"""),"https://www2.unifap.br/editora/files/2020/08/animal.pdf")</f>
        <v>https://www2.unifap.br/editora/files/2020/08/animal.pdf</v>
      </c>
      <c r="I52" s="24" t="str">
        <f>IFERROR(__xludf.DUMMYFUNCTION("""COMPUTED_VALUE"""),"Lingüística Letras e Artes")</f>
        <v>Lingüística Letras e Artes</v>
      </c>
    </row>
    <row r="53">
      <c r="A53" s="24" t="str">
        <f>IFERROR(__xludf.DUMMYFUNCTION("""COMPUTED_VALUE"""),"Anna Cacheada")</f>
        <v>Anna Cacheada</v>
      </c>
      <c r="B53" s="24" t="str">
        <f>IFERROR(__xludf.DUMMYFUNCTION("""COMPUTED_VALUE"""),"Alinne Márcia Nascimento Costa")</f>
        <v>Alinne Márcia Nascimento Costa</v>
      </c>
      <c r="C53" s="24" t="str">
        <f>IFERROR(__xludf.DUMMYFUNCTION("""COMPUTED_VALUE"""),"Macapá")</f>
        <v>Macapá</v>
      </c>
      <c r="D53" s="24" t="str">
        <f>IFERROR(__xludf.DUMMYFUNCTION("""COMPUTED_VALUE"""),"UNIFAP")</f>
        <v>UNIFAP</v>
      </c>
      <c r="E53" s="25">
        <f>IFERROR(__xludf.DUMMYFUNCTION("""COMPUTED_VALUE"""),2018.0)</f>
        <v>2018</v>
      </c>
      <c r="F53" s="24" t="str">
        <f>IFERROR(__xludf.DUMMYFUNCTION("""COMPUTED_VALUE"""),"Literatura infantil; Identidade Negra")</f>
        <v>Literatura infantil; Identidade Negra</v>
      </c>
      <c r="G53" s="28" t="str">
        <f>IFERROR(__xludf.DUMMYFUNCTION("""COMPUTED_VALUE"""),"9788554760489")</f>
        <v>9788554760489</v>
      </c>
      <c r="H53" s="29" t="str">
        <f>IFERROR(__xludf.DUMMYFUNCTION("""COMPUTED_VALUE"""),"https://www2.unifap.br/editora/files/2018/05/E-book-Anna-Cacheada.pdf")</f>
        <v>https://www2.unifap.br/editora/files/2018/05/E-book-Anna-Cacheada.pdf</v>
      </c>
      <c r="I53" s="24" t="str">
        <f>IFERROR(__xludf.DUMMYFUNCTION("""COMPUTED_VALUE"""),"Lingüística Letras e Artes")</f>
        <v>Lingüística Letras e Artes</v>
      </c>
    </row>
    <row r="54">
      <c r="A54" s="24" t="str">
        <f>IFERROR(__xludf.DUMMYFUNCTION("""COMPUTED_VALUE"""),"Antologia panorâmica do conto baiano: século XX ")</f>
        <v>Antologia panorâmica do conto baiano: século XX </v>
      </c>
      <c r="B54" s="24" t="str">
        <f>IFERROR(__xludf.DUMMYFUNCTION("""COMPUTED_VALUE"""),"organização e introdução de Gerana Damulakis")</f>
        <v>organização e introdução de Gerana Damulakis</v>
      </c>
      <c r="C54" s="24" t="str">
        <f>IFERROR(__xludf.DUMMYFUNCTION("""COMPUTED_VALUE"""),"Ilhéus, BA")</f>
        <v>Ilhéus, BA</v>
      </c>
      <c r="D54" s="24" t="str">
        <f>IFERROR(__xludf.DUMMYFUNCTION("""COMPUTED_VALUE"""),"Editus")</f>
        <v>Editus</v>
      </c>
      <c r="E54" s="25">
        <f>IFERROR(__xludf.DUMMYFUNCTION("""COMPUTED_VALUE"""),2004.0)</f>
        <v>2004</v>
      </c>
      <c r="F54" s="24" t="str">
        <f>IFERROR(__xludf.DUMMYFUNCTION("""COMPUTED_VALUE"""),"Contos baianos; Contos baianos – Século XX; Contos – Antologia")</f>
        <v>Contos baianos; Contos baianos – Século XX; Contos – Antologia</v>
      </c>
      <c r="G54" s="28" t="str">
        <f>IFERROR(__xludf.DUMMYFUNCTION("""COMPUTED_VALUE"""),"8574550604")</f>
        <v>8574550604</v>
      </c>
      <c r="H54" s="29" t="str">
        <f>IFERROR(__xludf.DUMMYFUNCTION("""COMPUTED_VALUE"""),"http://www.uesc.br/editora/livrosdigitais_20140513/antologia_conto_baiano.pdf")</f>
        <v>http://www.uesc.br/editora/livrosdigitais_20140513/antologia_conto_baiano.pdf</v>
      </c>
      <c r="I54" s="24" t="str">
        <f>IFERROR(__xludf.DUMMYFUNCTION("""COMPUTED_VALUE"""),"Lingüística Letras e Artes")</f>
        <v>Lingüística Letras e Artes</v>
      </c>
    </row>
    <row r="55">
      <c r="A55" s="24" t="str">
        <f>IFERROR(__xludf.DUMMYFUNCTION("""COMPUTED_VALUE"""),"Antologia poética: I Concurso Roraimense de Poesia Universitária")</f>
        <v>Antologia poética: I Concurso Roraimense de Poesia Universitária</v>
      </c>
      <c r="B55" s="24" t="str">
        <f>IFERROR(__xludf.DUMMYFUNCTION("""COMPUTED_VALUE"""),"Simone Guesser (org.)")</f>
        <v>Simone Guesser (org.)</v>
      </c>
      <c r="C55" s="24" t="str">
        <f>IFERROR(__xludf.DUMMYFUNCTION("""COMPUTED_VALUE"""),"Boa Vista ")</f>
        <v>Boa Vista </v>
      </c>
      <c r="D55" s="24" t="str">
        <f>IFERROR(__xludf.DUMMYFUNCTION("""COMPUTED_VALUE"""),"UFRR")</f>
        <v>UFRR</v>
      </c>
      <c r="E55" s="25">
        <f>IFERROR(__xludf.DUMMYFUNCTION("""COMPUTED_VALUE"""),2017.0)</f>
        <v>2017</v>
      </c>
      <c r="F55" s="24" t="str">
        <f>IFERROR(__xludf.DUMMYFUNCTION("""COMPUTED_VALUE"""),"Literatura brasileira; Poesia")</f>
        <v>Literatura brasileira; Poesia</v>
      </c>
      <c r="G55" s="28" t="str">
        <f>IFERROR(__xludf.DUMMYFUNCTION("""COMPUTED_VALUE"""),"9788582881415")</f>
        <v>9788582881415</v>
      </c>
      <c r="H55" s="29" t="str">
        <f>IFERROR(__xludf.DUMMYFUNCTION("""COMPUTED_VALUE"""),"http://ufrr.br/editora/index.php/editais?download=397:antologia-poetica")</f>
        <v>http://ufrr.br/editora/index.php/editais?download=397:antologia-poetica</v>
      </c>
      <c r="I55" s="24" t="str">
        <f>IFERROR(__xludf.DUMMYFUNCTION("""COMPUTED_VALUE"""),"Lingüística Letras e Artes")</f>
        <v>Lingüística Letras e Artes</v>
      </c>
    </row>
    <row r="56">
      <c r="A56" s="24" t="str">
        <f>IFERROR(__xludf.DUMMYFUNCTION("""COMPUTED_VALUE"""),"Antonin Artaud")</f>
        <v>Antonin Artaud</v>
      </c>
      <c r="B56" s="24" t="str">
        <f>IFERROR(__xludf.DUMMYFUNCTION("""COMPUTED_VALUE"""),"Ana Kiffer")</f>
        <v>Ana Kiffer</v>
      </c>
      <c r="C56" s="24" t="str">
        <f>IFERROR(__xludf.DUMMYFUNCTION("""COMPUTED_VALUE"""),"Rio de Janeiro")</f>
        <v>Rio de Janeiro</v>
      </c>
      <c r="D56" s="24" t="str">
        <f>IFERROR(__xludf.DUMMYFUNCTION("""COMPUTED_VALUE"""),"EdUERJ")</f>
        <v>EdUERJ</v>
      </c>
      <c r="E56" s="25">
        <f>IFERROR(__xludf.DUMMYFUNCTION("""COMPUTED_VALUE"""),2016.0)</f>
        <v>2016</v>
      </c>
      <c r="F56" s="24" t="str">
        <f>IFERROR(__xludf.DUMMYFUNCTION("""COMPUTED_VALUE"""),"Antonin Artaud; Crítica e interpretação; Teatro francês")</f>
        <v>Antonin Artaud; Crítica e interpretação; Teatro francês</v>
      </c>
      <c r="G56" s="28" t="str">
        <f>IFERROR(__xludf.DUMMYFUNCTION("""COMPUTED_VALUE"""),"9788575113929")</f>
        <v>9788575113929</v>
      </c>
      <c r="H56" s="29" t="str">
        <f>IFERROR(__xludf.DUMMYFUNCTION("""COMPUTED_VALUE"""),"https://www.eduerj.com/eng/?product=antonin-artaud-ebook")</f>
        <v>https://www.eduerj.com/eng/?product=antonin-artaud-ebook</v>
      </c>
      <c r="I56" s="24" t="str">
        <f>IFERROR(__xludf.DUMMYFUNCTION("""COMPUTED_VALUE"""),"Lingüística Letras e Artes")</f>
        <v>Lingüística Letras e Artes</v>
      </c>
    </row>
    <row r="57">
      <c r="A57" s="24" t="str">
        <f>IFERROR(__xludf.DUMMYFUNCTION("""COMPUTED_VALUE"""),"Ao que minha vida veio...")</f>
        <v>Ao que minha vida veio...</v>
      </c>
      <c r="B57" s="24" t="str">
        <f>IFERROR(__xludf.DUMMYFUNCTION("""COMPUTED_VALUE"""),"Santos, Alckmar")</f>
        <v>Santos, Alckmar</v>
      </c>
      <c r="C57" s="24" t="str">
        <f>IFERROR(__xludf.DUMMYFUNCTION("""COMPUTED_VALUE"""),"Florianópolis")</f>
        <v>Florianópolis</v>
      </c>
      <c r="D57" s="24" t="str">
        <f>IFERROR(__xludf.DUMMYFUNCTION("""COMPUTED_VALUE"""),"Editora da UFSC")</f>
        <v>Editora da UFSC</v>
      </c>
      <c r="E57" s="25">
        <f>IFERROR(__xludf.DUMMYFUNCTION("""COMPUTED_VALUE"""),2011.0)</f>
        <v>2011</v>
      </c>
      <c r="F57" s="24" t="str">
        <f>IFERROR(__xludf.DUMMYFUNCTION("""COMPUTED_VALUE"""),"Literatura brasileira;Ficção brasileira")</f>
        <v>Literatura brasileira;Ficção brasileira</v>
      </c>
      <c r="G57" s="28" t="str">
        <f>IFERROR(__xludf.DUMMYFUNCTION("""COMPUTED_VALUE"""),"9788532805706")</f>
        <v>9788532805706</v>
      </c>
      <c r="H57" s="29" t="str">
        <f>IFERROR(__xludf.DUMMYFUNCTION("""COMPUTED_VALUE"""),"https://repositorio.ufsc.br/handle/123456789/187607")</f>
        <v>https://repositorio.ufsc.br/handle/123456789/187607</v>
      </c>
      <c r="I57" s="24" t="str">
        <f>IFERROR(__xludf.DUMMYFUNCTION("""COMPUTED_VALUE"""),"Lingüística Letras e Artes")</f>
        <v>Lingüística Letras e Artes</v>
      </c>
    </row>
    <row r="58">
      <c r="A58" s="24" t="str">
        <f>IFERROR(__xludf.DUMMYFUNCTION("""COMPUTED_VALUE"""),"Aquisição da linguagem e problemas do desenvolvimento linguístico")</f>
        <v>Aquisição da linguagem e problemas do desenvolvimento linguístico</v>
      </c>
      <c r="B58" s="24" t="str">
        <f>IFERROR(__xludf.DUMMYFUNCTION("""COMPUTED_VALUE"""),"Letícia Maria Sicuro Corrêa; Organização")</f>
        <v>Letícia Maria Sicuro Corrêa; Organização</v>
      </c>
      <c r="C58" s="24" t="str">
        <f>IFERROR(__xludf.DUMMYFUNCTION("""COMPUTED_VALUE"""),"Rio de Janeiro")</f>
        <v>Rio de Janeiro</v>
      </c>
      <c r="D58" s="24" t="str">
        <f>IFERROR(__xludf.DUMMYFUNCTION("""COMPUTED_VALUE"""),"Editora PUC Rio")</f>
        <v>Editora PUC Rio</v>
      </c>
      <c r="E58" s="25">
        <f>IFERROR(__xludf.DUMMYFUNCTION("""COMPUTED_VALUE"""),2018.0)</f>
        <v>2018</v>
      </c>
      <c r="F58" s="24" t="str">
        <f>IFERROR(__xludf.DUMMYFUNCTION("""COMPUTED_VALUE"""),"Aquisição de linguagem. Linguagem e línguas. Psicolinguística")</f>
        <v>Aquisição de linguagem. Linguagem e línguas. Psicolinguística</v>
      </c>
      <c r="G58" s="28" t="str">
        <f>IFERROR(__xludf.DUMMYFUNCTION("""COMPUTED_VALUE"""),"9788580062595")</f>
        <v>9788580062595</v>
      </c>
      <c r="H58" s="29" t="str">
        <f>IFERROR(__xludf.DUMMYFUNCTION("""COMPUTED_VALUE"""),"http://www.editora.puc-rio.br/media/aquisicao%20miolo1.pdf")</f>
        <v>http://www.editora.puc-rio.br/media/aquisicao%20miolo1.pdf</v>
      </c>
      <c r="I58" s="24" t="str">
        <f>IFERROR(__xludf.DUMMYFUNCTION("""COMPUTED_VALUE"""),"Lingüística Letras e Artes")</f>
        <v>Lingüística Letras e Artes</v>
      </c>
    </row>
    <row r="59">
      <c r="A59" s="24" t="str">
        <f>IFERROR(__xludf.DUMMYFUNCTION("""COMPUTED_VALUE"""),"Aquisição e processamento de sentenças passivas: uma investigação experimental com infantes, crianças e adultos")</f>
        <v>Aquisição e processamento de sentenças passivas: uma investigação experimental com infantes, crianças e adultos</v>
      </c>
      <c r="B59" s="24" t="str">
        <f>IFERROR(__xludf.DUMMYFUNCTION("""COMPUTED_VALUE"""),"João Claudio de Lima Júnior")</f>
        <v>João Claudio de Lima Júnior</v>
      </c>
      <c r="C59" s="24" t="str">
        <f>IFERROR(__xludf.DUMMYFUNCTION("""COMPUTED_VALUE"""),"Rio de Janeiro")</f>
        <v>Rio de Janeiro</v>
      </c>
      <c r="D59" s="24" t="str">
        <f>IFERROR(__xludf.DUMMYFUNCTION("""COMPUTED_VALUE"""),"Editora PUC Rio")</f>
        <v>Editora PUC Rio</v>
      </c>
      <c r="E59" s="25">
        <f>IFERROR(__xludf.DUMMYFUNCTION("""COMPUTED_VALUE"""),2018.0)</f>
        <v>2018</v>
      </c>
      <c r="F59" s="24" t="str">
        <f>IFERROR(__xludf.DUMMYFUNCTION("""COMPUTED_VALUE"""),"Linguagem")</f>
        <v>Linguagem</v>
      </c>
      <c r="G59" s="28" t="str">
        <f>IFERROR(__xludf.DUMMYFUNCTION("""COMPUTED_VALUE"""),"9788567477275")</f>
        <v>9788567477275</v>
      </c>
      <c r="H59" s="29" t="str">
        <f>IFERROR(__xludf.DUMMYFUNCTION("""COMPUTED_VALUE"""),"http://www.editora.puc-rio.br/media/Aquisi%C3%A7%C3%A3o%20e%20processamento%20de%20senten%C3%A7as%20passivas.pdf")</f>
        <v>http://www.editora.puc-rio.br/media/Aquisi%C3%A7%C3%A3o%20e%20processamento%20de%20senten%C3%A7as%20passivas.pdf</v>
      </c>
      <c r="I59" s="24" t="str">
        <f>IFERROR(__xludf.DUMMYFUNCTION("""COMPUTED_VALUE"""),"Lingüística Letras e Artes")</f>
        <v>Lingüística Letras e Artes</v>
      </c>
    </row>
    <row r="60">
      <c r="A60" s="24" t="str">
        <f>IFERROR(__xludf.DUMMYFUNCTION("""COMPUTED_VALUE"""),"Armazém dos afetos")</f>
        <v>Armazém dos afetos</v>
      </c>
      <c r="B60" s="24" t="str">
        <f>IFERROR(__xludf.DUMMYFUNCTION("""COMPUTED_VALUE"""),"Mara Coradello")</f>
        <v>Mara Coradello</v>
      </c>
      <c r="C60" s="24" t="str">
        <f>IFERROR(__xludf.DUMMYFUNCTION("""COMPUTED_VALUE"""),"Vitória")</f>
        <v>Vitória</v>
      </c>
      <c r="D60" s="24" t="str">
        <f>IFERROR(__xludf.DUMMYFUNCTION("""COMPUTED_VALUE"""),"EDUFES")</f>
        <v>EDUFES</v>
      </c>
      <c r="E60" s="25">
        <f>IFERROR(__xludf.DUMMYFUNCTION("""COMPUTED_VALUE"""),2013.0)</f>
        <v>2013</v>
      </c>
      <c r="F60" s="24" t="str">
        <f>IFERROR(__xludf.DUMMYFUNCTION("""COMPUTED_VALUE"""),"Crônicas brasileiras; Crônicas; Afetos")</f>
        <v>Crônicas brasileiras; Crônicas; Afetos</v>
      </c>
      <c r="G60" s="28" t="str">
        <f>IFERROR(__xludf.DUMMYFUNCTION("""COMPUTED_VALUE"""),"9788577721719")</f>
        <v>9788577721719</v>
      </c>
      <c r="H60" s="29" t="str">
        <f>IFERROR(__xludf.DUMMYFUNCTION("""COMPUTED_VALUE"""),"http://repositorio.ufes.br/bitstream/10/819/1/livro%20edufes%20Armaz%C3%A9m%20dos%20afetos%20cr%C3%B4nicas.pdf")</f>
        <v>http://repositorio.ufes.br/bitstream/10/819/1/livro%20edufes%20Armaz%C3%A9m%20dos%20afetos%20cr%C3%B4nicas.pdf</v>
      </c>
      <c r="I60" s="24" t="str">
        <f>IFERROR(__xludf.DUMMYFUNCTION("""COMPUTED_VALUE"""),"Lingüística Letras e Artes")</f>
        <v>Lingüística Letras e Artes</v>
      </c>
    </row>
    <row r="61">
      <c r="A61" s="24" t="str">
        <f>IFERROR(__xludf.DUMMYFUNCTION("""COMPUTED_VALUE"""),"Arquivos de quase sonetos e alguns amores")</f>
        <v>Arquivos de quase sonetos e alguns amores</v>
      </c>
      <c r="B61" s="24" t="str">
        <f>IFERROR(__xludf.DUMMYFUNCTION("""COMPUTED_VALUE"""),"Santos, Alckmar")</f>
        <v>Santos, Alckmar</v>
      </c>
      <c r="C61" s="24" t="str">
        <f>IFERROR(__xludf.DUMMYFUNCTION("""COMPUTED_VALUE"""),"Florianópolis")</f>
        <v>Florianópolis</v>
      </c>
      <c r="D61" s="24" t="str">
        <f>IFERROR(__xludf.DUMMYFUNCTION("""COMPUTED_VALUE"""),"Editora da UFSC")</f>
        <v>Editora da UFSC</v>
      </c>
      <c r="E61" s="25">
        <f>IFERROR(__xludf.DUMMYFUNCTION("""COMPUTED_VALUE"""),2016.0)</f>
        <v>2016</v>
      </c>
      <c r="F61" s="24" t="str">
        <f>IFERROR(__xludf.DUMMYFUNCTION("""COMPUTED_VALUE"""),"Literatura brasileira;Poesia brasileira")</f>
        <v>Literatura brasileira;Poesia brasileira</v>
      </c>
      <c r="G61" s="28" t="str">
        <f>IFERROR(__xludf.DUMMYFUNCTION("""COMPUTED_VALUE"""),"9788532807311")</f>
        <v>9788532807311</v>
      </c>
      <c r="H61" s="29" t="str">
        <f>IFERROR(__xludf.DUMMYFUNCTION("""COMPUTED_VALUE"""),"https://repositorio.ufsc.br/handle/123456789/187715")</f>
        <v>https://repositorio.ufsc.br/handle/123456789/187715</v>
      </c>
      <c r="I61" s="24" t="str">
        <f>IFERROR(__xludf.DUMMYFUNCTION("""COMPUTED_VALUE"""),"Lingüística Letras e Artes")</f>
        <v>Lingüística Letras e Artes</v>
      </c>
    </row>
    <row r="62">
      <c r="A62" s="24" t="str">
        <f>IFERROR(__xludf.DUMMYFUNCTION("""COMPUTED_VALUE"""),"Arte decorativa: forros de estuques em relevo Pelotas, 1876-1910")</f>
        <v>Arte decorativa: forros de estuques em relevo Pelotas, 1876-1910</v>
      </c>
      <c r="B62" s="24" t="str">
        <f>IFERROR(__xludf.DUMMYFUNCTION("""COMPUTED_VALUE"""),"Rozisky, Cristina Jeannes")</f>
        <v>Rozisky, Cristina Jeannes</v>
      </c>
      <c r="C62" s="24" t="str">
        <f>IFERROR(__xludf.DUMMYFUNCTION("""COMPUTED_VALUE"""),"Pelotas")</f>
        <v>Pelotas</v>
      </c>
      <c r="D62" s="24" t="str">
        <f>IFERROR(__xludf.DUMMYFUNCTION("""COMPUTED_VALUE"""),"UFPel")</f>
        <v>UFPel</v>
      </c>
      <c r="E62" s="25">
        <f>IFERROR(__xludf.DUMMYFUNCTION("""COMPUTED_VALUE"""),2017.0)</f>
        <v>2017</v>
      </c>
      <c r="F62" s="24" t="str">
        <f>IFERROR(__xludf.DUMMYFUNCTION("""COMPUTED_VALUE"""),"Arte decorativa; Estuque; Arquitetura; Patrimônio cultural; Pelotas")</f>
        <v>Arte decorativa; Estuque; Arquitetura; Patrimônio cultural; Pelotas</v>
      </c>
      <c r="G62" s="28" t="str">
        <f>IFERROR(__xludf.DUMMYFUNCTION("""COMPUTED_VALUE"""),"9788571929630")</f>
        <v>9788571929630</v>
      </c>
      <c r="H62" s="29" t="str">
        <f>IFERROR(__xludf.DUMMYFUNCTION("""COMPUTED_VALUE"""),"http://repositorio.ufpel.edu.br:8080/bitstream/prefix/3807/1/14_ARTE%20DECORATIVA%20FORROS%20DE%20ESTUQUES%20EM%20RELEVO_S%c3%89RIE%20P%c3%93S%20GRADUA%c3%87%c3%83O.pdf")</f>
        <v>http://repositorio.ufpel.edu.br:8080/bitstream/prefix/3807/1/14_ARTE%20DECORATIVA%20FORROS%20DE%20ESTUQUES%20EM%20RELEVO_S%c3%89RIE%20P%c3%93S%20GRADUA%c3%87%c3%83O.pdf</v>
      </c>
      <c r="I62" s="24" t="str">
        <f>IFERROR(__xludf.DUMMYFUNCTION("""COMPUTED_VALUE"""),"Lingüística Letras e Artes")</f>
        <v>Lingüística Letras e Artes</v>
      </c>
    </row>
    <row r="63">
      <c r="A63" s="24" t="str">
        <f>IFERROR(__xludf.DUMMYFUNCTION("""COMPUTED_VALUE"""),"Arte e cidade, memória e experiência ")</f>
        <v>Arte e cidade, memória e experiência </v>
      </c>
      <c r="B63" s="24" t="str">
        <f>IFERROR(__xludf.DUMMYFUNCTION("""COMPUTED_VALUE"""),"Andréa Vieira Zanella (org.)")</f>
        <v>Andréa Vieira Zanella (org.)</v>
      </c>
      <c r="C63" s="24" t="str">
        <f>IFERROR(__xludf.DUMMYFUNCTION("""COMPUTED_VALUE"""),"Teresina")</f>
        <v>Teresina</v>
      </c>
      <c r="D63" s="24" t="str">
        <f>IFERROR(__xludf.DUMMYFUNCTION("""COMPUTED_VALUE"""),"EDUFPI")</f>
        <v>EDUFPI</v>
      </c>
      <c r="E63" s="25">
        <f>IFERROR(__xludf.DUMMYFUNCTION("""COMPUTED_VALUE"""),2020.0)</f>
        <v>2020</v>
      </c>
      <c r="F63" s="24" t="str">
        <f>IFERROR(__xludf.DUMMYFUNCTION("""COMPUTED_VALUE"""),"Arte; Cidade; Experiência; Estética; Memória")</f>
        <v>Arte; Cidade; Experiência; Estética; Memória</v>
      </c>
      <c r="G63" s="28" t="str">
        <f>IFERROR(__xludf.DUMMYFUNCTION("""COMPUTED_VALUE"""),"97865861712")</f>
        <v>97865861712</v>
      </c>
      <c r="H63" s="29" t="str">
        <f>IFERROR(__xludf.DUMMYFUNCTION("""COMPUTED_VALUE"""),"https://www.ufpi.br/arquivos_download/arquivos/LIVRO_ARTE_CIDADE_E_MEMORIA_-_ADRIANA_320200610144324.pdf")</f>
        <v>https://www.ufpi.br/arquivos_download/arquivos/LIVRO_ARTE_CIDADE_E_MEMORIA_-_ADRIANA_320200610144324.pdf</v>
      </c>
      <c r="I63" s="24" t="str">
        <f>IFERROR(__xludf.DUMMYFUNCTION("""COMPUTED_VALUE"""),"Lingüística Letras e Artes")</f>
        <v>Lingüística Letras e Artes</v>
      </c>
    </row>
    <row r="64">
      <c r="A64" s="24" t="str">
        <f>IFERROR(__xludf.DUMMYFUNCTION("""COMPUTED_VALUE"""),"Artes – escritos sobre ensino e aprendizagem")</f>
        <v>Artes – escritos sobre ensino e aprendizagem</v>
      </c>
      <c r="B64" s="24" t="str">
        <f>IFERROR(__xludf.DUMMYFUNCTION("""COMPUTED_VALUE"""),"JOAQUIM NETTO (org.)")</f>
        <v>JOAQUIM NETTO (org.)</v>
      </c>
      <c r="C64" s="24" t="str">
        <f>IFERROR(__xludf.DUMMYFUNCTION("""COMPUTED_VALUE"""),"Macapá")</f>
        <v>Macapá</v>
      </c>
      <c r="D64" s="24" t="str">
        <f>IFERROR(__xludf.DUMMYFUNCTION("""COMPUTED_VALUE"""),"UNIFAP")</f>
        <v>UNIFAP</v>
      </c>
      <c r="E64" s="25">
        <f>IFERROR(__xludf.DUMMYFUNCTION("""COMPUTED_VALUE"""),2017.0)</f>
        <v>2017</v>
      </c>
      <c r="F64" s="24" t="str">
        <f>IFERROR(__xludf.DUMMYFUNCTION("""COMPUTED_VALUE"""),"Arte; Linguagem visual; Fotografia; Ensino")</f>
        <v>Arte; Linguagem visual; Fotografia; Ensino</v>
      </c>
      <c r="G64" s="28" t="str">
        <f>IFERROR(__xludf.DUMMYFUNCTION("""COMPUTED_VALUE"""),"9788562359934")</f>
        <v>9788562359934</v>
      </c>
      <c r="H64" s="29" t="str">
        <f>IFERROR(__xludf.DUMMYFUNCTION("""COMPUTED_VALUE"""),"https://www2.unifap.br/editora/files/2014/12/Livro-Artes-escritos-sobre-ensino-e-aprendizagem-corrigido.pdf")</f>
        <v>https://www2.unifap.br/editora/files/2014/12/Livro-Artes-escritos-sobre-ensino-e-aprendizagem-corrigido.pdf</v>
      </c>
      <c r="I64" s="24" t="str">
        <f>IFERROR(__xludf.DUMMYFUNCTION("""COMPUTED_VALUE"""),"Lingüística Letras e Artes")</f>
        <v>Lingüística Letras e Artes</v>
      </c>
    </row>
    <row r="65">
      <c r="A65" s="24" t="str">
        <f>IFERROR(__xludf.DUMMYFUNCTION("""COMPUTED_VALUE"""),"Artes visuais e educação: ensino e formação")</f>
        <v>Artes visuais e educação: ensino e formação</v>
      </c>
      <c r="B65" s="24" t="str">
        <f>IFERROR(__xludf.DUMMYFUNCTION("""COMPUTED_VALUE"""),"Luciana Mourão Arslan")</f>
        <v>Luciana Mourão Arslan</v>
      </c>
      <c r="C65" s="24" t="str">
        <f>IFERROR(__xludf.DUMMYFUNCTION("""COMPUTED_VALUE"""),"Uberlândia")</f>
        <v>Uberlândia</v>
      </c>
      <c r="D65" s="24" t="str">
        <f>IFERROR(__xludf.DUMMYFUNCTION("""COMPUTED_VALUE"""),"EDUFU")</f>
        <v>EDUFU</v>
      </c>
      <c r="E65" s="25">
        <f>IFERROR(__xludf.DUMMYFUNCTION("""COMPUTED_VALUE"""),2017.0)</f>
        <v>2017</v>
      </c>
      <c r="F65" s="24" t="str">
        <f>IFERROR(__xludf.DUMMYFUNCTION("""COMPUTED_VALUE"""),"Pesquisa operacional; Programação linear; Teoria das filas; Árvores de decisão. I. II. Título")</f>
        <v>Pesquisa operacional; Programação linear; Teoria das filas; Árvores de decisão. I. II. Título</v>
      </c>
      <c r="G65" s="28" t="str">
        <f>IFERROR(__xludf.DUMMYFUNCTION("""COMPUTED_VALUE"""),"9788570784292")</f>
        <v>9788570784292</v>
      </c>
      <c r="H65" s="29" t="str">
        <f>IFERROR(__xludf.DUMMYFUNCTION("""COMPUTED_VALUE"""),"http://www.edufu.ufu.br/sites/edufu.ufu.br/files/e-book_artes_visuais_2017_1.pdf")</f>
        <v>http://www.edufu.ufu.br/sites/edufu.ufu.br/files/e-book_artes_visuais_2017_1.pdf</v>
      </c>
      <c r="I65" s="24" t="str">
        <f>IFERROR(__xludf.DUMMYFUNCTION("""COMPUTED_VALUE"""),"Lingüística Letras e Artes")</f>
        <v>Lingüística Letras e Artes</v>
      </c>
    </row>
    <row r="66">
      <c r="A66" s="24" t="str">
        <f>IFERROR(__xludf.DUMMYFUNCTION("""COMPUTED_VALUE"""),"Articulações e re(a)presentações linguísticas: uma reflexão sobre língua e discurso em processo")</f>
        <v>Articulações e re(a)presentações linguísticas: uma reflexão sobre língua e discurso em processo</v>
      </c>
      <c r="B66" s="24" t="str">
        <f>IFERROR(__xludf.DUMMYFUNCTION("""COMPUTED_VALUE"""),"Luciana Maria Libório Eulálio; Margareth Torres de Alencar Costa; Maria Angélica Freire de Carvalho; Yana Liss Saores Gomes (org.)")</f>
        <v>Luciana Maria Libório Eulálio; Margareth Torres de Alencar Costa; Maria Angélica Freire de Carvalho; Yana Liss Saores Gomes (org.)</v>
      </c>
      <c r="C66" s="24" t="str">
        <f>IFERROR(__xludf.DUMMYFUNCTION("""COMPUTED_VALUE"""),"Teresina")</f>
        <v>Teresina</v>
      </c>
      <c r="D66" s="24" t="str">
        <f>IFERROR(__xludf.DUMMYFUNCTION("""COMPUTED_VALUE"""),"EDUFPI")</f>
        <v>EDUFPI</v>
      </c>
      <c r="E66" s="25">
        <f>IFERROR(__xludf.DUMMYFUNCTION("""COMPUTED_VALUE"""),2017.0)</f>
        <v>2017</v>
      </c>
      <c r="F66" s="24" t="str">
        <f>IFERROR(__xludf.DUMMYFUNCTION("""COMPUTED_VALUE"""),"Linguagem; Análise do Discurso; Representação Linguística")</f>
        <v>Linguagem; Análise do Discurso; Representação Linguística</v>
      </c>
      <c r="G66" s="28" t="str">
        <f>IFERROR(__xludf.DUMMYFUNCTION("""COMPUTED_VALUE"""),"9788550901367")</f>
        <v>9788550901367</v>
      </c>
      <c r="H66" s="29" t="str">
        <f>IFERROR(__xludf.DUMMYFUNCTION("""COMPUTED_VALUE"""),"https://www.ufpi.br/arquivos_download/arquivos/EDUFPI/LIVRO_ARTICULACOES_EBOOK.pdf")</f>
        <v>https://www.ufpi.br/arquivos_download/arquivos/EDUFPI/LIVRO_ARTICULACOES_EBOOK.pdf</v>
      </c>
      <c r="I66" s="24" t="str">
        <f>IFERROR(__xludf.DUMMYFUNCTION("""COMPUTED_VALUE"""),"Lingüística Letras e Artes")</f>
        <v>Lingüística Letras e Artes</v>
      </c>
    </row>
    <row r="67">
      <c r="A67" s="24" t="str">
        <f>IFERROR(__xludf.DUMMYFUNCTION("""COMPUTED_VALUE"""),"As aventuras de Seba: descobrindo a luz")</f>
        <v>As aventuras de Seba: descobrindo a luz</v>
      </c>
      <c r="B67" s="24" t="str">
        <f>IFERROR(__xludf.DUMMYFUNCTION("""COMPUTED_VALUE"""),"Susana Alicia Planas: ilustrações Ciro Lima Najar")</f>
        <v>Susana Alicia Planas: ilustrações Ciro Lima Najar</v>
      </c>
      <c r="C67" s="24" t="str">
        <f>IFERROR(__xludf.DUMMYFUNCTION("""COMPUTED_VALUE"""),"Niterói, RJ")</f>
        <v>Niterói, RJ</v>
      </c>
      <c r="D67" s="24" t="str">
        <f>IFERROR(__xludf.DUMMYFUNCTION("""COMPUTED_VALUE"""),"EDUFF")</f>
        <v>EDUFF</v>
      </c>
      <c r="E67" s="25">
        <f>IFERROR(__xludf.DUMMYFUNCTION("""COMPUTED_VALUE"""),2014.0)</f>
        <v>2014</v>
      </c>
      <c r="F67" s="24" t="str">
        <f>IFERROR(__xludf.DUMMYFUNCTION("""COMPUTED_VALUE"""),"Literatura infantojuvenil; Crianças - Livros e leitura; Livro paradidático")</f>
        <v>Literatura infantojuvenil; Crianças - Livros e leitura; Livro paradidático</v>
      </c>
      <c r="G67" s="28" t="str">
        <f>IFERROR(__xludf.DUMMYFUNCTION("""COMPUTED_VALUE"""),"9788522810536")</f>
        <v>9788522810536</v>
      </c>
      <c r="H67" s="29" t="str">
        <f>IFERROR(__xludf.DUMMYFUNCTION("""COMPUTED_VALUE"""),"http://www.eduff.uff.br/ebooks/As-aventuras-de-Seba-v3.pdf")</f>
        <v>http://www.eduff.uff.br/ebooks/As-aventuras-de-Seba-v3.pdf</v>
      </c>
      <c r="I67" s="24" t="str">
        <f>IFERROR(__xludf.DUMMYFUNCTION("""COMPUTED_VALUE"""),"Lingüística Letras e Artes")</f>
        <v>Lingüística Letras e Artes</v>
      </c>
    </row>
    <row r="68">
      <c r="A68" s="24" t="str">
        <f>IFERROR(__xludf.DUMMYFUNCTION("""COMPUTED_VALUE"""),"As aventuras de Seba: no caminho da acessabilidade")</f>
        <v>As aventuras de Seba: no caminho da acessabilidade</v>
      </c>
      <c r="B68" s="24" t="str">
        <f>IFERROR(__xludf.DUMMYFUNCTION("""COMPUTED_VALUE"""),"Susana Alicia Planas; ilustrações Wiliam Ribeiro Ramos")</f>
        <v>Susana Alicia Planas; ilustrações Wiliam Ribeiro Ramos</v>
      </c>
      <c r="C68" s="24" t="str">
        <f>IFERROR(__xludf.DUMMYFUNCTION("""COMPUTED_VALUE"""),"Niterói, RJ")</f>
        <v>Niterói, RJ</v>
      </c>
      <c r="D68" s="24" t="str">
        <f>IFERROR(__xludf.DUMMYFUNCTION("""COMPUTED_VALUE"""),"EDUFF")</f>
        <v>EDUFF</v>
      </c>
      <c r="E68" s="25">
        <f>IFERROR(__xludf.DUMMYFUNCTION("""COMPUTED_VALUE"""),2013.0)</f>
        <v>2013</v>
      </c>
      <c r="F68" s="24" t="str">
        <f>IFERROR(__xludf.DUMMYFUNCTION("""COMPUTED_VALUE"""),"Literatura infantojuvenil; Crianças - Livros e leitura; Livro paradidático")</f>
        <v>Literatura infantojuvenil; Crianças - Livros e leitura; Livro paradidático</v>
      </c>
      <c r="G68" s="28" t="str">
        <f>IFERROR(__xludf.DUMMYFUNCTION("""COMPUTED_VALUE"""),"9788522810123")</f>
        <v>9788522810123</v>
      </c>
      <c r="H68" s="29" t="str">
        <f>IFERROR(__xludf.DUMMYFUNCTION("""COMPUTED_VALUE"""),"http://www.eduff.uff.br/ebooks/As-aventuras-de-Seba-v2.pdf")</f>
        <v>http://www.eduff.uff.br/ebooks/As-aventuras-de-Seba-v2.pdf</v>
      </c>
      <c r="I68" s="24" t="str">
        <f>IFERROR(__xludf.DUMMYFUNCTION("""COMPUTED_VALUE"""),"Lingüística Letras e Artes")</f>
        <v>Lingüística Letras e Artes</v>
      </c>
    </row>
    <row r="69">
      <c r="A69" s="24" t="str">
        <f>IFERROR(__xludf.DUMMYFUNCTION("""COMPUTED_VALUE"""),"As formas de tratamento em português e em espanhol variação, mudança e funções conversacionais = Las formas de tratamiento en español y en portugués variación, cambio y funciones conversacionales")</f>
        <v>As formas de tratamento em português e em espanhol variação, mudança e funções conversacionais = Las formas de tratamiento en español y en portugués variación, cambio y funciones conversacionales</v>
      </c>
      <c r="B69" s="24" t="str">
        <f>IFERROR(__xludf.DUMMYFUNCTION("""COMPUTED_VALUE"""),"Leticia Rebollo Couto; Célia Regina dos Santos (org.)")</f>
        <v>Leticia Rebollo Couto; Célia Regina dos Santos (org.)</v>
      </c>
      <c r="C69" s="24" t="str">
        <f>IFERROR(__xludf.DUMMYFUNCTION("""COMPUTED_VALUE"""),"Niterói, RJ")</f>
        <v>Niterói, RJ</v>
      </c>
      <c r="D69" s="24" t="str">
        <f>IFERROR(__xludf.DUMMYFUNCTION("""COMPUTED_VALUE"""),"Editora da Universidade Federal Fluminense")</f>
        <v>Editora da Universidade Federal Fluminense</v>
      </c>
      <c r="E69" s="25">
        <f>IFERROR(__xludf.DUMMYFUNCTION("""COMPUTED_VALUE"""),2011.0)</f>
        <v>2011</v>
      </c>
      <c r="F69" s="24" t="str">
        <f>IFERROR(__xludf.DUMMYFUNCTION("""COMPUTED_VALUE"""),"Sociolinguística; Língua portuguesa; Língua espanhola")</f>
        <v>Sociolinguística; Língua portuguesa; Língua espanhola</v>
      </c>
      <c r="G69" s="28" t="str">
        <f>IFERROR(__xludf.DUMMYFUNCTION("""COMPUTED_VALUE"""),"9788522806072")</f>
        <v>9788522806072</v>
      </c>
      <c r="H69" s="29" t="str">
        <f>IFERROR(__xludf.DUMMYFUNCTION("""COMPUTED_VALUE"""),"http://bit.ly/As-formas-de-tratamento-em-portugues-e-espanhol")</f>
        <v>http://bit.ly/As-formas-de-tratamento-em-portugues-e-espanhol</v>
      </c>
      <c r="I69" s="24" t="str">
        <f>IFERROR(__xludf.DUMMYFUNCTION("""COMPUTED_VALUE"""),"Lingüística Letras e Artes")</f>
        <v>Lingüística Letras e Artes</v>
      </c>
    </row>
    <row r="70">
      <c r="A70" s="24" t="str">
        <f>IFERROR(__xludf.DUMMYFUNCTION("""COMPUTED_VALUE"""),"As páginas de ontem")</f>
        <v>As páginas de ontem</v>
      </c>
      <c r="B70" s="24" t="str">
        <f>IFERROR(__xludf.DUMMYFUNCTION("""COMPUTED_VALUE"""),"Andréa Antonialli (org.)")</f>
        <v>Andréa Antonialli (org.)</v>
      </c>
      <c r="C70" s="24" t="str">
        <f>IFERROR(__xludf.DUMMYFUNCTION("""COMPUTED_VALUE"""),"São Bernardo do Campo, SP")</f>
        <v>São Bernardo do Campo, SP</v>
      </c>
      <c r="D70" s="24" t="str">
        <f>IFERROR(__xludf.DUMMYFUNCTION("""COMPUTED_VALUE"""),"UMESP")</f>
        <v>UMESP</v>
      </c>
      <c r="E70" s="25">
        <f>IFERROR(__xludf.DUMMYFUNCTION("""COMPUTED_VALUE"""),2014.0)</f>
        <v>2014</v>
      </c>
      <c r="F70" s="24" t="str">
        <f>IFERROR(__xludf.DUMMYFUNCTION("""COMPUTED_VALUE"""),"Literatura infantojuvenil. Literatura brasileira. Crônicas")</f>
        <v>Literatura infantojuvenil. Literatura brasileira. Crônicas</v>
      </c>
      <c r="G70" s="28" t="str">
        <f>IFERROR(__xludf.DUMMYFUNCTION("""COMPUTED_VALUE"""),"9788578142919")</f>
        <v>9788578142919</v>
      </c>
      <c r="H70" s="29" t="str">
        <f>IFERROR(__xludf.DUMMYFUNCTION("""COMPUTED_VALUE"""),"http://editora.metodista.br/livros-gratis/aspaginasdeontem.pdf/at_download/file")</f>
        <v>http://editora.metodista.br/livros-gratis/aspaginasdeontem.pdf/at_download/file</v>
      </c>
      <c r="I70" s="24" t="str">
        <f>IFERROR(__xludf.DUMMYFUNCTION("""COMPUTED_VALUE"""),"Lingüística Letras e Artes")</f>
        <v>Lingüística Letras e Artes</v>
      </c>
    </row>
    <row r="71">
      <c r="A71" s="24" t="str">
        <f>IFERROR(__xludf.DUMMYFUNCTION("""COMPUTED_VALUE"""),"As Pérfidas Salomés: a representação do pathos do amor em Fon-Fon! e Para todos... - 1970-1930")</f>
        <v>As Pérfidas Salomés: a representação do pathos do amor em Fon-Fon! e Para todos... - 1970-1930</v>
      </c>
      <c r="B71" s="24" t="str">
        <f>IFERROR(__xludf.DUMMYFUNCTION("""COMPUTED_VALUE"""),"Cláudia de Oliveira")</f>
        <v>Cláudia de Oliveira</v>
      </c>
      <c r="C71" s="24" t="str">
        <f>IFERROR(__xludf.DUMMYFUNCTION("""COMPUTED_VALUE"""),"Rio de Janeiro")</f>
        <v>Rio de Janeiro</v>
      </c>
      <c r="D71" s="24" t="str">
        <f>IFERROR(__xludf.DUMMYFUNCTION("""COMPUTED_VALUE"""),"Fundação Casa de Rui Barbosa")</f>
        <v>Fundação Casa de Rui Barbosa</v>
      </c>
      <c r="E71" s="25">
        <f>IFERROR(__xludf.DUMMYFUNCTION("""COMPUTED_VALUE"""),2008.0)</f>
        <v>2008</v>
      </c>
      <c r="F71" s="24" t="str">
        <f>IFERROR(__xludf.DUMMYFUNCTION("""COMPUTED_VALUE"""),"Salomé (Personagem bíblico). Mulher. Amor")</f>
        <v>Salomé (Personagem bíblico). Mulher. Amor</v>
      </c>
      <c r="G71" s="28" t="str">
        <f>IFERROR(__xludf.DUMMYFUNCTION("""COMPUTED_VALUE"""),"9788570042866")</f>
        <v>9788570042866</v>
      </c>
      <c r="H71" s="29" t="str">
        <f>IFERROR(__xludf.DUMMYFUNCTION("""COMPUTED_VALUE"""),"http://www.casaruibarbosa.gov.br/arquivos/file/As%20P%C3%A9rfidas%20Salom%C3%A9s%20-%20OCR.pdf")</f>
        <v>http://www.casaruibarbosa.gov.br/arquivos/file/As%20P%C3%A9rfidas%20Salom%C3%A9s%20-%20OCR.pdf</v>
      </c>
      <c r="I71" s="24" t="str">
        <f>IFERROR(__xludf.DUMMYFUNCTION("""COMPUTED_VALUE"""),"Lingüística Letras e Artes")</f>
        <v>Lingüística Letras e Artes</v>
      </c>
    </row>
    <row r="72">
      <c r="A72" s="24" t="str">
        <f>IFERROR(__xludf.DUMMYFUNCTION("""COMPUTED_VALUE"""),"As razões do imaginário")</f>
        <v>As razões do imaginário</v>
      </c>
      <c r="B72" s="24" t="str">
        <f>IFERROR(__xludf.DUMMYFUNCTION("""COMPUTED_VALUE"""),"Maria de Lourdes Netto Simões")</f>
        <v>Maria de Lourdes Netto Simões</v>
      </c>
      <c r="C72" s="24" t="str">
        <f>IFERROR(__xludf.DUMMYFUNCTION("""COMPUTED_VALUE"""),"Salvador, BA")</f>
        <v>Salvador, BA</v>
      </c>
      <c r="D72" s="24" t="str">
        <f>IFERROR(__xludf.DUMMYFUNCTION("""COMPUTED_VALUE"""),"UESC")</f>
        <v>UESC</v>
      </c>
      <c r="E72" s="25">
        <f>IFERROR(__xludf.DUMMYFUNCTION("""COMPUTED_VALUE"""),1997.0)</f>
        <v>1997</v>
      </c>
      <c r="F72" s="24" t="str">
        <f>IFERROR(__xludf.DUMMYFUNCTION("""COMPUTED_VALUE"""),"LITERATURA BRASILEIRA: ENSAIO")</f>
        <v>LITERATURA BRASILEIRA: ENSAIO</v>
      </c>
      <c r="G72" s="28" t="str">
        <f>IFERROR(__xludf.DUMMYFUNCTION("""COMPUTED_VALUE"""),"8572780297")</f>
        <v>8572780297</v>
      </c>
      <c r="H72" s="29" t="str">
        <f>IFERROR(__xludf.DUMMYFUNCTION("""COMPUTED_VALUE"""),"http://www.uesc.br/editora/livrosdigitais/as_razoes_imaginario.pdf")</f>
        <v>http://www.uesc.br/editora/livrosdigitais/as_razoes_imaginario.pdf</v>
      </c>
      <c r="I72" s="24" t="str">
        <f>IFERROR(__xludf.DUMMYFUNCTION("""COMPUTED_VALUE"""),"Lingüística Letras e Artes")</f>
        <v>Lingüística Letras e Artes</v>
      </c>
    </row>
    <row r="73">
      <c r="A73" s="24" t="str">
        <f>IFERROR(__xludf.DUMMYFUNCTION("""COMPUTED_VALUE"""),"As viagens de Carola Migrista -: migrante ou turista?")</f>
        <v>As viagens de Carola Migrista -: migrante ou turista?</v>
      </c>
      <c r="B73" s="24" t="str">
        <f>IFERROR(__xludf.DUMMYFUNCTION("""COMPUTED_VALUE"""),"Maria Luiza Silva Santos")</f>
        <v>Maria Luiza Silva Santos</v>
      </c>
      <c r="C73" s="24" t="str">
        <f>IFERROR(__xludf.DUMMYFUNCTION("""COMPUTED_VALUE"""),"Ilhéus, BA")</f>
        <v>Ilhéus, BA</v>
      </c>
      <c r="D73" s="24" t="str">
        <f>IFERROR(__xludf.DUMMYFUNCTION("""COMPUTED_VALUE"""),"Editus")</f>
        <v>Editus</v>
      </c>
      <c r="E73" s="25">
        <f>IFERROR(__xludf.DUMMYFUNCTION("""COMPUTED_VALUE"""),2016.0)</f>
        <v>2016</v>
      </c>
      <c r="F73" s="24" t="str">
        <f>IFERROR(__xludf.DUMMYFUNCTION("""COMPUTED_VALUE"""),"Literatura infantojuvenil brasileira")</f>
        <v>Literatura infantojuvenil brasileira</v>
      </c>
      <c r="G73" s="28" t="str">
        <f>IFERROR(__xludf.DUMMYFUNCTION("""COMPUTED_VALUE"""),"9788574554082")</f>
        <v>9788574554082</v>
      </c>
      <c r="H73" s="29" t="str">
        <f>IFERROR(__xludf.DUMMYFUNCTION("""COMPUTED_VALUE"""),"http://www.uesc.br/editora/livrosdigitais2017/as_viagens_carola_migrista.pdf")</f>
        <v>http://www.uesc.br/editora/livrosdigitais2017/as_viagens_carola_migrista.pdf</v>
      </c>
      <c r="I73" s="24" t="str">
        <f>IFERROR(__xludf.DUMMYFUNCTION("""COMPUTED_VALUE"""),"Lingüística Letras e Artes")</f>
        <v>Lingüística Letras e Artes</v>
      </c>
    </row>
    <row r="74">
      <c r="A74" s="24" t="str">
        <f>IFERROR(__xludf.DUMMYFUNCTION("""COMPUTED_VALUE"""),"Aspectos Descritivos e Sócio-Históricos da Língua Falada em Pernambuco")</f>
        <v>Aspectos Descritivos e Sócio-Históricos da Língua Falada em Pernambuco</v>
      </c>
      <c r="B74" s="24" t="str">
        <f>IFERROR(__xludf.DUMMYFUNCTION("""COMPUTED_VALUE"""),"Adeilson Pinheiro Sedrins e Edmilson José de Sá (org.) 4. Transgressã")</f>
        <v>Adeilson Pinheiro Sedrins e Edmilson José de Sá (org.) 4. Transgressã</v>
      </c>
      <c r="C74" s="24" t="str">
        <f>IFERROR(__xludf.DUMMYFUNCTION("""COMPUTED_VALUE"""),"Recife")</f>
        <v>Recife</v>
      </c>
      <c r="D74" s="24" t="str">
        <f>IFERROR(__xludf.DUMMYFUNCTION("""COMPUTED_VALUE"""),"Editora Universitária da UFRPE")</f>
        <v>Editora Universitária da UFRPE</v>
      </c>
      <c r="E74" s="25">
        <f>IFERROR(__xludf.DUMMYFUNCTION("""COMPUTED_VALUE"""),2015.0)</f>
        <v>2015</v>
      </c>
      <c r="F74" s="24" t="str">
        <f>IFERROR(__xludf.DUMMYFUNCTION("""COMPUTED_VALUE"""),"Linguística; Sociolinguística; Fonética; Lexicologia; Português")</f>
        <v>Linguística; Sociolinguística; Fonética; Lexicologia; Português</v>
      </c>
      <c r="G74" s="28" t="str">
        <f>IFERROR(__xludf.DUMMYFUNCTION("""COMPUTED_VALUE"""),"9788579462054")</f>
        <v>9788579462054</v>
      </c>
      <c r="H74" s="29" t="str">
        <f>IFERROR(__xludf.DUMMYFUNCTION("""COMPUTED_VALUE"""),"https://www.dropbox.com/s/2zl9otbyu1ibmmi/lingua-falada-em-pernambuco.pdf?dl=0")</f>
        <v>https://www.dropbox.com/s/2zl9otbyu1ibmmi/lingua-falada-em-pernambuco.pdf?dl=0</v>
      </c>
      <c r="I74" s="24" t="str">
        <f>IFERROR(__xludf.DUMMYFUNCTION("""COMPUTED_VALUE"""),"Lingüística Letras e Artes")</f>
        <v>Lingüística Letras e Artes</v>
      </c>
    </row>
    <row r="75">
      <c r="A75" s="24" t="str">
        <f>IFERROR(__xludf.DUMMYFUNCTION("""COMPUTED_VALUE"""),"Aspectos gramaticais de línguas indígenas sul-americanas")</f>
        <v>Aspectos gramaticais de línguas indígenas sul-americanas</v>
      </c>
      <c r="B75" s="24" t="str">
        <f>IFERROR(__xludf.DUMMYFUNCTION("""COMPUTED_VALUE"""),"Angela Fabiola Alves Chagas, Eduardo Alves Vasconcelos, Antonio Almir Silva Gomes (org.)")</f>
        <v>Angela Fabiola Alves Chagas, Eduardo Alves Vasconcelos, Antonio Almir Silva Gomes (org.)</v>
      </c>
      <c r="C75" s="24" t="str">
        <f>IFERROR(__xludf.DUMMYFUNCTION("""COMPUTED_VALUE"""),"Macapá")</f>
        <v>Macapá</v>
      </c>
      <c r="D75" s="24" t="str">
        <f>IFERROR(__xludf.DUMMYFUNCTION("""COMPUTED_VALUE"""),"UNIFAP")</f>
        <v>UNIFAP</v>
      </c>
      <c r="E75" s="25">
        <f>IFERROR(__xludf.DUMMYFUNCTION("""COMPUTED_VALUE"""),2019.0)</f>
        <v>2019</v>
      </c>
      <c r="F75" s="24" t="str">
        <f>IFERROR(__xludf.DUMMYFUNCTION("""COMPUTED_VALUE"""),"Gramática; Línguas Indígenas; América do Sul")</f>
        <v>Gramática; Línguas Indígenas; América do Sul</v>
      </c>
      <c r="G75" s="28" t="str">
        <f>IFERROR(__xludf.DUMMYFUNCTION("""COMPUTED_VALUE"""),"9788554760694")</f>
        <v>9788554760694</v>
      </c>
      <c r="H75" s="29" t="str">
        <f>IFERROR(__xludf.DUMMYFUNCTION("""COMPUTED_VALUE"""),"https://www2.unifap.br/editora/files/2019/05/aspectos-gramaticais-de-linguas-indigenas-sul-americanas.pdf")</f>
        <v>https://www2.unifap.br/editora/files/2019/05/aspectos-gramaticais-de-linguas-indigenas-sul-americanas.pdf</v>
      </c>
      <c r="I75" s="24" t="str">
        <f>IFERROR(__xludf.DUMMYFUNCTION("""COMPUTED_VALUE"""),"Lingüística Letras e Artes")</f>
        <v>Lingüística Letras e Artes</v>
      </c>
    </row>
    <row r="76">
      <c r="A76" s="24" t="str">
        <f>IFERROR(__xludf.DUMMYFUNCTION("""COMPUTED_VALUE"""),"Assassinos de aluguel e outros contos")</f>
        <v>Assassinos de aluguel e outros contos</v>
      </c>
      <c r="B76" s="24" t="str">
        <f>IFERROR(__xludf.DUMMYFUNCTION("""COMPUTED_VALUE"""),"Enio Jelihovschi")</f>
        <v>Enio Jelihovschi</v>
      </c>
      <c r="C76" s="24" t="str">
        <f>IFERROR(__xludf.DUMMYFUNCTION("""COMPUTED_VALUE"""),"Ilhéus, BA")</f>
        <v>Ilhéus, BA</v>
      </c>
      <c r="D76" s="24" t="str">
        <f>IFERROR(__xludf.DUMMYFUNCTION("""COMPUTED_VALUE"""),"Editus")</f>
        <v>Editus</v>
      </c>
      <c r="E76" s="25">
        <f>IFERROR(__xludf.DUMMYFUNCTION("""COMPUTED_VALUE"""),2013.0)</f>
        <v>2013</v>
      </c>
      <c r="F76" s="24" t="str">
        <f>IFERROR(__xludf.DUMMYFUNCTION("""COMPUTED_VALUE"""),"Contos brasileiros; Literatura brasileira")</f>
        <v>Contos brasileiros; Literatura brasileira</v>
      </c>
      <c r="G76" s="28" t="str">
        <f>IFERROR(__xludf.DUMMYFUNCTION("""COMPUTED_VALUE"""),"9788574553139")</f>
        <v>9788574553139</v>
      </c>
      <c r="H76" s="29" t="str">
        <f>IFERROR(__xludf.DUMMYFUNCTION("""COMPUTED_VALUE"""),"http://www.uesc.br/editora/livrosdigitais2015/assassinos_de_aluguel.pdf")</f>
        <v>http://www.uesc.br/editora/livrosdigitais2015/assassinos_de_aluguel.pdf</v>
      </c>
      <c r="I76" s="24" t="str">
        <f>IFERROR(__xludf.DUMMYFUNCTION("""COMPUTED_VALUE"""),"Lingüística Letras e Artes")</f>
        <v>Lingüística Letras e Artes</v>
      </c>
    </row>
    <row r="77">
      <c r="A77" s="24" t="str">
        <f>IFERROR(__xludf.DUMMYFUNCTION("""COMPUTED_VALUE"""),"Atacama")</f>
        <v>Atacama</v>
      </c>
      <c r="B77" s="24" t="str">
        <f>IFERROR(__xludf.DUMMYFUNCTION("""COMPUTED_VALUE"""),"Luciana Macêdo")</f>
        <v>Luciana Macêdo</v>
      </c>
      <c r="C77" s="24" t="str">
        <f>IFERROR(__xludf.DUMMYFUNCTION("""COMPUTED_VALUE"""),"Macapá")</f>
        <v>Macapá</v>
      </c>
      <c r="D77" s="24" t="str">
        <f>IFERROR(__xludf.DUMMYFUNCTION("""COMPUTED_VALUE"""),"UNIFAP")</f>
        <v>UNIFAP</v>
      </c>
      <c r="E77" s="25">
        <f>IFERROR(__xludf.DUMMYFUNCTION("""COMPUTED_VALUE"""),2019.0)</f>
        <v>2019</v>
      </c>
      <c r="F77" s="24" t="str">
        <f>IFERROR(__xludf.DUMMYFUNCTION("""COMPUTED_VALUE"""),"Fotografia;Turismo; Atacama")</f>
        <v>Fotografia;Turismo; Atacama</v>
      </c>
      <c r="G77" s="28" t="str">
        <f>IFERROR(__xludf.DUMMYFUNCTION("""COMPUTED_VALUE"""),"9788554760786")</f>
        <v>9788554760786</v>
      </c>
      <c r="H77" s="29" t="str">
        <f>IFERROR(__xludf.DUMMYFUNCTION("""COMPUTED_VALUE"""),"https://www2.unifap.br/editora/files/2019/07/atacama.pdf")</f>
        <v>https://www2.unifap.br/editora/files/2019/07/atacama.pdf</v>
      </c>
      <c r="I77" s="24" t="str">
        <f>IFERROR(__xludf.DUMMYFUNCTION("""COMPUTED_VALUE"""),"Lingüística Letras e Artes")</f>
        <v>Lingüística Letras e Artes</v>
      </c>
    </row>
    <row r="78">
      <c r="A78" s="24" t="str">
        <f>IFERROR(__xludf.DUMMYFUNCTION("""COMPUTED_VALUE"""),"Até mais verde ")</f>
        <v>Até mais verde </v>
      </c>
      <c r="B78" s="24" t="str">
        <f>IFERROR(__xludf.DUMMYFUNCTION("""COMPUTED_VALUE"""),"Pawlo Cidade")</f>
        <v>Pawlo Cidade</v>
      </c>
      <c r="C78" s="24" t="str">
        <f>IFERROR(__xludf.DUMMYFUNCTION("""COMPUTED_VALUE"""),"Ilhéus, BA")</f>
        <v>Ilhéus, BA</v>
      </c>
      <c r="D78" s="24" t="str">
        <f>IFERROR(__xludf.DUMMYFUNCTION("""COMPUTED_VALUE"""),"Editus")</f>
        <v>Editus</v>
      </c>
      <c r="E78" s="25">
        <f>IFERROR(__xludf.DUMMYFUNCTION("""COMPUTED_VALUE"""),2015.0)</f>
        <v>2015</v>
      </c>
      <c r="F78" s="24" t="str">
        <f>IFERROR(__xludf.DUMMYFUNCTION("""COMPUTED_VALUE"""),"Romance brasileiro; Literatura brasileira; Ecológia")</f>
        <v>Romance brasileiro; Literatura brasileira; Ecológia</v>
      </c>
      <c r="G78" s="28" t="str">
        <f>IFERROR(__xludf.DUMMYFUNCTION("""COMPUTED_VALUE"""),"9788574553801")</f>
        <v>9788574553801</v>
      </c>
      <c r="H78" s="29" t="str">
        <f>IFERROR(__xludf.DUMMYFUNCTION("""COMPUTED_VALUE"""),"http://www.uesc.br/editora/livrosdigitais2017/ate_mais_verde.pdf")</f>
        <v>http://www.uesc.br/editora/livrosdigitais2017/ate_mais_verde.pdf</v>
      </c>
      <c r="I78" s="24" t="str">
        <f>IFERROR(__xludf.DUMMYFUNCTION("""COMPUTED_VALUE"""),"Lingüística Letras e Artes")</f>
        <v>Lingüística Letras e Artes</v>
      </c>
    </row>
    <row r="79">
      <c r="A79" s="24" t="str">
        <f>IFERROR(__xludf.DUMMYFUNCTION("""COMPUTED_VALUE"""),"Ateliês em artes cênicas: produção, extensão e difusão cultural. vol.1")</f>
        <v>Ateliês em artes cênicas: produção, extensão e difusão cultural. vol.1</v>
      </c>
      <c r="B79" s="24" t="str">
        <f>IFERROR(__xludf.DUMMYFUNCTION("""COMPUTED_VALUE"""),"Fernando Aleixo,Narciso Telles")</f>
        <v>Fernando Aleixo,Narciso Telles</v>
      </c>
      <c r="C79" s="24" t="str">
        <f>IFERROR(__xludf.DUMMYFUNCTION("""COMPUTED_VALUE"""),"Uberlândia")</f>
        <v>Uberlândia</v>
      </c>
      <c r="D79" s="24" t="str">
        <f>IFERROR(__xludf.DUMMYFUNCTION("""COMPUTED_VALUE"""),"EDUFU")</f>
        <v>EDUFU</v>
      </c>
      <c r="E79" s="25">
        <f>IFERROR(__xludf.DUMMYFUNCTION("""COMPUTED_VALUE"""),2017.0)</f>
        <v>2017</v>
      </c>
      <c r="F79" s="24" t="str">
        <f>IFERROR(__xludf.DUMMYFUNCTION("""COMPUTED_VALUE"""),"Artes cênicas;Extensão universitária; Difusão cultural.I.Aleixo, Fernando, II. Telles, Narciso, 1970-")</f>
        <v>Artes cênicas;Extensão universitária; Difusão cultural.I.Aleixo, Fernando, II. Telles, Narciso, 1970-</v>
      </c>
      <c r="G79" s="28" t="str">
        <f>IFERROR(__xludf.DUMMYFUNCTION("""COMPUTED_VALUE"""),"978 8570784063")</f>
        <v>978 8570784063</v>
      </c>
      <c r="H79" s="29" t="str">
        <f>IFERROR(__xludf.DUMMYFUNCTION("""COMPUTED_VALUE"""),"http://www.edufu.ufu.br/sites/edufu.ufu.br/files/e-book_atelies_2017_0.pdf")</f>
        <v>http://www.edufu.ufu.br/sites/edufu.ufu.br/files/e-book_atelies_2017_0.pdf</v>
      </c>
      <c r="I79" s="24" t="str">
        <f>IFERROR(__xludf.DUMMYFUNCTION("""COMPUTED_VALUE"""),"Lingüística Letras e Artes")</f>
        <v>Lingüística Letras e Artes</v>
      </c>
    </row>
    <row r="80">
      <c r="A80" s="24" t="str">
        <f>IFERROR(__xludf.DUMMYFUNCTION("""COMPUTED_VALUE"""),"Atlas etnolinguístico do Acre – ALAC: fronteiras léxicas")</f>
        <v>Atlas etnolinguístico do Acre – ALAC: fronteiras léxicas</v>
      </c>
      <c r="B80" s="24" t="str">
        <f>IFERROR(__xludf.DUMMYFUNCTION("""COMPUTED_VALUE"""),"Luísa Galvão Lessa Karlberg")</f>
        <v>Luísa Galvão Lessa Karlberg</v>
      </c>
      <c r="C80" s="24" t="str">
        <f>IFERROR(__xludf.DUMMYFUNCTION("""COMPUTED_VALUE"""),"Rio Branco")</f>
        <v>Rio Branco</v>
      </c>
      <c r="D80" s="24" t="str">
        <f>IFERROR(__xludf.DUMMYFUNCTION("""COMPUTED_VALUE"""),"Edufac")</f>
        <v>Edufac</v>
      </c>
      <c r="E80" s="25">
        <f>IFERROR(__xludf.DUMMYFUNCTION("""COMPUTED_VALUE"""),2018.0)</f>
        <v>2018</v>
      </c>
      <c r="F80" s="24" t="str">
        <f>IFERROR(__xludf.DUMMYFUNCTION("""COMPUTED_VALUE"""),"Linguagem; Língua e linguagem; Atlas linguístico – Acre; Geografia linguística – Acre")</f>
        <v>Linguagem; Língua e linguagem; Atlas linguístico – Acre; Geografia linguística – Acre</v>
      </c>
      <c r="G80" s="28" t="str">
        <f>IFERROR(__xludf.DUMMYFUNCTION("""COMPUTED_VALUE"""),"9788598499963")</f>
        <v>9788598499963</v>
      </c>
      <c r="H80" s="29" t="str">
        <f>IFERROR(__xludf.DUMMYFUNCTION("""COMPUTED_VALUE"""),"http://www2.ufac.br/editora/livros/atlasetnolinguisticodoacre.pdf")</f>
        <v>http://www2.ufac.br/editora/livros/atlasetnolinguisticodoacre.pdf</v>
      </c>
      <c r="I80" s="24" t="str">
        <f>IFERROR(__xludf.DUMMYFUNCTION("""COMPUTED_VALUE"""),"Lingüística Letras e Artes")</f>
        <v>Lingüística Letras e Artes</v>
      </c>
    </row>
    <row r="81">
      <c r="A81" s="24" t="str">
        <f>IFERROR(__xludf.DUMMYFUNCTION("""COMPUTED_VALUE"""),"Augusto dos Anjos e Sua Época (disponível temporariamente)")</f>
        <v>Augusto dos Anjos e Sua Época (disponível temporariamente)</v>
      </c>
      <c r="B81" s="24" t="str">
        <f>IFERROR(__xludf.DUMMYFUNCTION("""COMPUTED_VALUE"""),"Humberto Nóbrega")</f>
        <v>Humberto Nóbrega</v>
      </c>
      <c r="C81" s="24" t="str">
        <f>IFERROR(__xludf.DUMMYFUNCTION("""COMPUTED_VALUE"""),"João Pessoa")</f>
        <v>João Pessoa</v>
      </c>
      <c r="D81" s="24" t="str">
        <f>IFERROR(__xludf.DUMMYFUNCTION("""COMPUTED_VALUE"""),"Editora da UFPB")</f>
        <v>Editora da UFPB</v>
      </c>
      <c r="E81" s="25">
        <f>IFERROR(__xludf.DUMMYFUNCTION("""COMPUTED_VALUE"""),2018.0)</f>
        <v>2018</v>
      </c>
      <c r="F81" s="24" t="str">
        <f>IFERROR(__xludf.DUMMYFUNCTION("""COMPUTED_VALUE"""),"Literatura brasileira; Crítica e interpretação; Poemas ")</f>
        <v>Literatura brasileira; Crítica e interpretação; Poemas </v>
      </c>
      <c r="G81" s="28" t="str">
        <f>IFERROR(__xludf.DUMMYFUNCTION("""COMPUTED_VALUE"""),"9788523713553")</f>
        <v>9788523713553</v>
      </c>
      <c r="H81" s="29" t="str">
        <f>IFERROR(__xludf.DUMMYFUNCTION("""COMPUTED_VALUE"""),"http://www.editora.ufpb.br/sistema/press5/index.php/UFPB/catalog/book/460")</f>
        <v>http://www.editora.ufpb.br/sistema/press5/index.php/UFPB/catalog/book/460</v>
      </c>
      <c r="I81" s="24" t="str">
        <f>IFERROR(__xludf.DUMMYFUNCTION("""COMPUTED_VALUE"""),"Lingüística Letras e Artes")</f>
        <v>Lingüística Letras e Artes</v>
      </c>
    </row>
    <row r="82">
      <c r="A82" s="24" t="str">
        <f>IFERROR(__xludf.DUMMYFUNCTION("""COMPUTED_VALUE"""),"Augusto Meyer proustiano: a reinvenção mernorialística do eu")</f>
        <v>Augusto Meyer proustiano: a reinvenção mernorialística do eu</v>
      </c>
      <c r="B82" s="24" t="str">
        <f>IFERROR(__xludf.DUMMYFUNCTION("""COMPUTED_VALUE"""),"Paulo Bungart Neto")</f>
        <v>Paulo Bungart Neto</v>
      </c>
      <c r="C82" s="24" t="str">
        <f>IFERROR(__xludf.DUMMYFUNCTION("""COMPUTED_VALUE"""),"Dourados, MS")</f>
        <v>Dourados, MS</v>
      </c>
      <c r="D82" s="24" t="str">
        <f>IFERROR(__xludf.DUMMYFUNCTION("""COMPUTED_VALUE"""),"Ed. UFMS ")</f>
        <v>Ed. UFMS </v>
      </c>
      <c r="E82" s="25">
        <f>IFERROR(__xludf.DUMMYFUNCTION("""COMPUTED_VALUE"""),2014.0)</f>
        <v>2014</v>
      </c>
      <c r="F82" s="24" t="str">
        <f>IFERROR(__xludf.DUMMYFUNCTION("""COMPUTED_VALUE"""),"Literatura brasileira - História e crítica; Meyer, Augusto, 192-1970 - Crítica e interpretação")</f>
        <v>Literatura brasileira - História e crítica; Meyer, Augusto, 192-1970 - Crítica e interpretação</v>
      </c>
      <c r="G82" s="28" t="str">
        <f>IFERROR(__xludf.DUMMYFUNCTION("""COMPUTED_VALUE"""),"9788576134831 (UFMS)9788581470962 (UFGD)")</f>
        <v>9788576134831 (UFMS)9788581470962 (UFGD)</v>
      </c>
      <c r="H82" s="29" t="str">
        <f>IFERROR(__xludf.DUMMYFUNCTION("""COMPUTED_VALUE"""),"http://omp.ufgd.edu.br/omp/index.php/livrosabertos/catalog/view/58/62/536-1")</f>
        <v>http://omp.ufgd.edu.br/omp/index.php/livrosabertos/catalog/view/58/62/536-1</v>
      </c>
      <c r="I82" s="24" t="str">
        <f>IFERROR(__xludf.DUMMYFUNCTION("""COMPUTED_VALUE"""),"Lingüística Letras e Artes")</f>
        <v>Lingüística Letras e Artes</v>
      </c>
    </row>
    <row r="83">
      <c r="A83" s="24" t="str">
        <f>IFERROR(__xludf.DUMMYFUNCTION("""COMPUTED_VALUE"""),"Auto do descobrimento (o romanceiro de vagas descobertas)")</f>
        <v>Auto do descobrimento (o romanceiro de vagas descobertas)</v>
      </c>
      <c r="B83" s="24" t="str">
        <f>IFERROR(__xludf.DUMMYFUNCTION("""COMPUTED_VALUE"""),"Jorge de Souza Araújo")</f>
        <v>Jorge de Souza Araújo</v>
      </c>
      <c r="C83" s="24" t="str">
        <f>IFERROR(__xludf.DUMMYFUNCTION("""COMPUTED_VALUE"""),"Ilhéus, BA")</f>
        <v>Ilhéus, BA</v>
      </c>
      <c r="D83" s="24" t="str">
        <f>IFERROR(__xludf.DUMMYFUNCTION("""COMPUTED_VALUE"""),"Editus")</f>
        <v>Editus</v>
      </c>
      <c r="E83" s="25">
        <f>IFERROR(__xludf.DUMMYFUNCTION("""COMPUTED_VALUE"""),2007.0)</f>
        <v>2007</v>
      </c>
      <c r="F83" s="24" t="str">
        <f>IFERROR(__xludf.DUMMYFUNCTION("""COMPUTED_VALUE"""),"Teatro histórico")</f>
        <v>Teatro histórico</v>
      </c>
      <c r="G83" s="28" t="str">
        <f>IFERROR(__xludf.DUMMYFUNCTION("""COMPUTED_VALUE"""),"9788574551326")</f>
        <v>9788574551326</v>
      </c>
      <c r="H83" s="34" t="str">
        <f>IFERROR(__xludf.DUMMYFUNCTION("""COMPUTED_VALUE"""),"http://www.uesc.br/editora/livrosdigitais2016/auto_do_descobrimento.pdf")</f>
        <v>http://www.uesc.br/editora/livrosdigitais2016/auto_do_descobrimento.pdf</v>
      </c>
      <c r="I83" s="24" t="str">
        <f>IFERROR(__xludf.DUMMYFUNCTION("""COMPUTED_VALUE"""),"Lingüística Letras e Artes")</f>
        <v>Lingüística Letras e Artes</v>
      </c>
    </row>
    <row r="84">
      <c r="A84" s="24" t="str">
        <f>IFERROR(__xludf.DUMMYFUNCTION("""COMPUTED_VALUE"""),"Autobiografia Literária")</f>
        <v>Autobiografia Literária</v>
      </c>
      <c r="B84" s="24" t="str">
        <f>IFERROR(__xludf.DUMMYFUNCTION("""COMPUTED_VALUE"""),"Guiomar de Grammont (org.)")</f>
        <v>Guiomar de Grammont (org.)</v>
      </c>
      <c r="C84" s="24" t="str">
        <f>IFERROR(__xludf.DUMMYFUNCTION("""COMPUTED_VALUE"""),"Ouro Preto")</f>
        <v>Ouro Preto</v>
      </c>
      <c r="D84" s="24" t="str">
        <f>IFERROR(__xludf.DUMMYFUNCTION("""COMPUTED_VALUE"""),"UFOP")</f>
        <v>UFOP</v>
      </c>
      <c r="E84" s="25">
        <f>IFERROR(__xludf.DUMMYFUNCTION("""COMPUTED_VALUE"""),2013.0)</f>
        <v>2013</v>
      </c>
      <c r="F84" s="24" t="str">
        <f>IFERROR(__xludf.DUMMYFUNCTION("""COMPUTED_VALUE"""),"Autobiografias")</f>
        <v>Autobiografias</v>
      </c>
      <c r="G84" s="28" t="str">
        <f>IFERROR(__xludf.DUMMYFUNCTION("""COMPUTED_VALUE"""),"9788528803259")</f>
        <v>9788528803259</v>
      </c>
      <c r="H84" s="29" t="str">
        <f>IFERROR(__xludf.DUMMYFUNCTION("""COMPUTED_VALUE"""),"https://www.editora.ufop.br/index.php/editora/catalog/view/120/95/327-1")</f>
        <v>https://www.editora.ufop.br/index.php/editora/catalog/view/120/95/327-1</v>
      </c>
      <c r="I84" s="24" t="str">
        <f>IFERROR(__xludf.DUMMYFUNCTION("""COMPUTED_VALUE"""),"Lingüística Letras e Artes")</f>
        <v>Lingüística Letras e Artes</v>
      </c>
    </row>
    <row r="85">
      <c r="A85" s="24" t="str">
        <f>IFERROR(__xludf.DUMMYFUNCTION("""COMPUTED_VALUE"""),"AUTOTRADUÇÃO: breve histórico, razões, consequências, práticas")</f>
        <v>AUTOTRADUÇÃO: breve histórico, razões, consequências, práticas</v>
      </c>
      <c r="B85" s="24" t="str">
        <f>IFERROR(__xludf.DUMMYFUNCTION("""COMPUTED_VALUE"""),"Maria Alice G. Antunes")</f>
        <v>Maria Alice G. Antunes</v>
      </c>
      <c r="C85" s="24" t="str">
        <f>IFERROR(__xludf.DUMMYFUNCTION("""COMPUTED_VALUE"""),"Rio de Janeiro")</f>
        <v>Rio de Janeiro</v>
      </c>
      <c r="D85" s="24" t="str">
        <f>IFERROR(__xludf.DUMMYFUNCTION("""COMPUTED_VALUE"""),"EdUERJ")</f>
        <v>EdUERJ</v>
      </c>
      <c r="E85" s="25">
        <f>IFERROR(__xludf.DUMMYFUNCTION("""COMPUTED_VALUE"""),2019.0)</f>
        <v>2019</v>
      </c>
      <c r="F85" s="24" t="str">
        <f>IFERROR(__xludf.DUMMYFUNCTION("""COMPUTED_VALUE"""),"Autotradução; Teoria; Prática; Textos acadêmicos")</f>
        <v>Autotradução; Teoria; Prática; Textos acadêmicos</v>
      </c>
      <c r="G85" s="28" t="str">
        <f>IFERROR(__xludf.DUMMYFUNCTION("""COMPUTED_VALUE"""),"9788575115053")</f>
        <v>9788575115053</v>
      </c>
      <c r="H85" s="29" t="str">
        <f>IFERROR(__xludf.DUMMYFUNCTION("""COMPUTED_VALUE"""),"https://www.eduerj.com/eng/?product=autotraducao-breve-historico-razoes-consequencias-praticas")</f>
        <v>https://www.eduerj.com/eng/?product=autotraducao-breve-historico-razoes-consequencias-praticas</v>
      </c>
      <c r="I85" s="24" t="str">
        <f>IFERROR(__xludf.DUMMYFUNCTION("""COMPUTED_VALUE"""),"Lingüística Letras e Artes")</f>
        <v>Lingüística Letras e Artes</v>
      </c>
    </row>
    <row r="86">
      <c r="A86" s="24" t="str">
        <f>IFERROR(__xludf.DUMMYFUNCTION("""COMPUTED_VALUE"""),"Ava Jeroviaha")</f>
        <v>Ava Jeroviaha</v>
      </c>
      <c r="B86" s="24" t="str">
        <f>IFERROR(__xludf.DUMMYFUNCTION("""COMPUTED_VALUE"""),"Comitê Editorial Cone Sul Ação Saberes Indígenas na Escola")</f>
        <v>Comitê Editorial Cone Sul Ação Saberes Indígenas na Escola</v>
      </c>
      <c r="C86" s="24" t="str">
        <f>IFERROR(__xludf.DUMMYFUNCTION("""COMPUTED_VALUE"""),"Dourados, MS")</f>
        <v>Dourados, MS</v>
      </c>
      <c r="D86" s="24" t="str">
        <f>IFERROR(__xludf.DUMMYFUNCTION("""COMPUTED_VALUE"""),"Ed. Universidade Federal da Grande Dourados")</f>
        <v>Ed. Universidade Federal da Grande Dourados</v>
      </c>
      <c r="E86" s="25">
        <f>IFERROR(__xludf.DUMMYFUNCTION("""COMPUTED_VALUE"""),2019.0)</f>
        <v>2019</v>
      </c>
      <c r="F86" s="24" t="str">
        <f>IFERROR(__xludf.DUMMYFUNCTION("""COMPUTED_VALUE"""),"Literatura infantojuvenil indígena (Brasil) - Contos; Índios Guarani Kaiwá - Literatura infantojuvenil - Contos; Literatura infantojuvenil brasileira - Escritores indígenas; Índios da América do Sul - Educação de filhos; Índios Guarani Kaiwá - Usos e cost"&amp;"umes")</f>
        <v>Literatura infantojuvenil indígena (Brasil) - Contos; Índios Guarani Kaiwá - Literatura infantojuvenil - Contos; Literatura infantojuvenil brasileira - Escritores indígenas; Índios da América do Sul - Educação de filhos; Índios Guarani Kaiwá - Usos e costumes</v>
      </c>
      <c r="G86" s="28" t="str">
        <f>IFERROR(__xludf.DUMMYFUNCTION("""COMPUTED_VALUE"""),"9788581471662")</f>
        <v>9788581471662</v>
      </c>
      <c r="H86" s="29" t="str">
        <f>IFERROR(__xludf.DUMMYFUNCTION("""COMPUTED_VALUE"""),"http://omp.ufgd.edu.br/omp/index.php/livrosabertos/catalog/view/251/247/540-1")</f>
        <v>http://omp.ufgd.edu.br/omp/index.php/livrosabertos/catalog/view/251/247/540-1</v>
      </c>
      <c r="I86" s="24" t="str">
        <f>IFERROR(__xludf.DUMMYFUNCTION("""COMPUTED_VALUE"""),"Lingüística Letras e Artes")</f>
        <v>Lingüística Letras e Artes</v>
      </c>
    </row>
    <row r="87">
      <c r="A87" s="24" t="str">
        <f>IFERROR(__xludf.DUMMYFUNCTION("""COMPUTED_VALUE"""),"Berro de fogo e outras histórias ")</f>
        <v>Berro de fogo e outras histórias </v>
      </c>
      <c r="B87" s="24" t="str">
        <f>IFERROR(__xludf.DUMMYFUNCTION("""COMPUTED_VALUE"""),"Cyro de Mattos")</f>
        <v>Cyro de Mattos</v>
      </c>
      <c r="C87" s="24" t="str">
        <f>IFERROR(__xludf.DUMMYFUNCTION("""COMPUTED_VALUE"""),"Ilhéus, BA")</f>
        <v>Ilhéus, BA</v>
      </c>
      <c r="D87" s="24" t="str">
        <f>IFERROR(__xludf.DUMMYFUNCTION("""COMPUTED_VALUE"""),"Editus")</f>
        <v>Editus</v>
      </c>
      <c r="E87" s="25">
        <f>IFERROR(__xludf.DUMMYFUNCTION("""COMPUTED_VALUE"""),2013.0)</f>
        <v>2013</v>
      </c>
      <c r="F87" s="24" t="str">
        <f>IFERROR(__xludf.DUMMYFUNCTION("""COMPUTED_VALUE"""),"Contos brasileiros")</f>
        <v>Contos brasileiros</v>
      </c>
      <c r="G87" s="28" t="str">
        <f>IFERROR(__xludf.DUMMYFUNCTION("""COMPUTED_VALUE"""),"9788574552972")</f>
        <v>9788574552972</v>
      </c>
      <c r="H87" s="29" t="str">
        <f>IFERROR(__xludf.DUMMYFUNCTION("""COMPUTED_VALUE"""),"http://www.uesc.br/editora/livrosdigitais2015/berro_de_fogo.pdf")</f>
        <v>http://www.uesc.br/editora/livrosdigitais2015/berro_de_fogo.pdf</v>
      </c>
      <c r="I87" s="24" t="str">
        <f>IFERROR(__xludf.DUMMYFUNCTION("""COMPUTED_VALUE"""),"Lingüística Letras e Artes")</f>
        <v>Lingüística Letras e Artes</v>
      </c>
    </row>
    <row r="88">
      <c r="A88" s="24" t="str">
        <f>IFERROR(__xludf.DUMMYFUNCTION("""COMPUTED_VALUE"""),"Bourdieu e a Literatura")</f>
        <v>Bourdieu e a Literatura</v>
      </c>
      <c r="B88" s="24" t="str">
        <f>IFERROR(__xludf.DUMMYFUNCTION("""COMPUTED_VALUE"""),"John R. W. Speller (autor), Wander Nunes Frota (tradutor)")</f>
        <v>John R. W. Speller (autor), Wander Nunes Frota (tradutor)</v>
      </c>
      <c r="C88" s="24" t="str">
        <f>IFERROR(__xludf.DUMMYFUNCTION("""COMPUTED_VALUE"""),"Teresina")</f>
        <v>Teresina</v>
      </c>
      <c r="D88" s="24" t="str">
        <f>IFERROR(__xludf.DUMMYFUNCTION("""COMPUTED_VALUE"""),"EDUFPI")</f>
        <v>EDUFPI</v>
      </c>
      <c r="E88" s="25">
        <f>IFERROR(__xludf.DUMMYFUNCTION("""COMPUTED_VALUE"""),2017.0)</f>
        <v>2017</v>
      </c>
      <c r="F88" s="24" t="str">
        <f>IFERROR(__xludf.DUMMYFUNCTION("""COMPUTED_VALUE"""),"Literatura; Literatura e Ciência; Política Cultural")</f>
        <v>Literatura; Literatura e Ciência; Política Cultural</v>
      </c>
      <c r="G88" s="28" t="str">
        <f>IFERROR(__xludf.DUMMYFUNCTION("""COMPUTED_VALUE"""),"9788550901749")</f>
        <v>9788550901749</v>
      </c>
      <c r="H88" s="29" t="str">
        <f>IFERROR(__xludf.DUMMYFUNCTION("""COMPUTED_VALUE"""),"https://www.ufpi.br/arquivos_download/arquivos/EDUFPI/ebook_-_Bourdieu_e_a_literatura_-_Wander_Nunes20180809161626.pdf")</f>
        <v>https://www.ufpi.br/arquivos_download/arquivos/EDUFPI/ebook_-_Bourdieu_e_a_literatura_-_Wander_Nunes20180809161626.pdf</v>
      </c>
      <c r="I88" s="24" t="str">
        <f>IFERROR(__xludf.DUMMYFUNCTION("""COMPUTED_VALUE"""),"Lingüística Letras e Artes")</f>
        <v>Lingüística Letras e Artes</v>
      </c>
    </row>
    <row r="89">
      <c r="A89" s="24" t="str">
        <f>IFERROR(__xludf.DUMMYFUNCTION("""COMPUTED_VALUE"""),"Bravos companheiros e fantasmas 5: estudos críticos sobre o autor capixaba")</f>
        <v>Bravos companheiros e fantasmas 5: estudos críticos sobre o autor capixaba</v>
      </c>
      <c r="B89" s="24" t="str">
        <f>IFERROR(__xludf.DUMMYFUNCTION("""COMPUTED_VALUE"""),"Maria Amélia Dalvi, Orlando Lopes, Reinaldo Santos Neves (org.)")</f>
        <v>Maria Amélia Dalvi, Orlando Lopes, Reinaldo Santos Neves (org.)</v>
      </c>
      <c r="C89" s="24" t="str">
        <f>IFERROR(__xludf.DUMMYFUNCTION("""COMPUTED_VALUE"""),"Vitória")</f>
        <v>Vitória</v>
      </c>
      <c r="D89" s="24" t="str">
        <f>IFERROR(__xludf.DUMMYFUNCTION("""COMPUTED_VALUE"""),"EDUFES")</f>
        <v>EDUFES</v>
      </c>
      <c r="E89" s="25">
        <f>IFERROR(__xludf.DUMMYFUNCTION("""COMPUTED_VALUE"""),2014.0)</f>
        <v>2014</v>
      </c>
      <c r="F89" s="24" t="str">
        <f>IFERROR(__xludf.DUMMYFUNCTION("""COMPUTED_VALUE"""),"Literatura brasileira; História e crítica; Literatura")</f>
        <v>Literatura brasileira; História e crítica; Literatura</v>
      </c>
      <c r="G89" s="28" t="str">
        <f>IFERROR(__xludf.DUMMYFUNCTION("""COMPUTED_VALUE"""),"9788577721795")</f>
        <v>9788577721795</v>
      </c>
      <c r="H89" s="29" t="str">
        <f>IFERROR(__xludf.DUMMYFUNCTION("""COMPUTED_VALUE"""),"http://repositorio.ufes.br/bitstream/10/1160/1/Livro%20%20edufes%20bravos%20companheiros%20e%20fantasmas%205%20estudos%20cr%C3%ADticos%20sobre%20o%20autor%20capixaba.pdf")</f>
        <v>http://repositorio.ufes.br/bitstream/10/1160/1/Livro%20%20edufes%20bravos%20companheiros%20e%20fantasmas%205%20estudos%20cr%C3%ADticos%20sobre%20o%20autor%20capixaba.pdf</v>
      </c>
      <c r="I89" s="24" t="str">
        <f>IFERROR(__xludf.DUMMYFUNCTION("""COMPUTED_VALUE"""),"Lingüística Letras e Artes")</f>
        <v>Lingüística Letras e Artes</v>
      </c>
    </row>
    <row r="90">
      <c r="A90" s="24" t="str">
        <f>IFERROR(__xludf.DUMMYFUNCTION("""COMPUTED_VALUE"""),"Caderno de cultura do estado do Rio de Janeiro")</f>
        <v>Caderno de cultura do estado do Rio de Janeiro</v>
      </c>
      <c r="B90" s="24" t="str">
        <f>IFERROR(__xludf.DUMMYFUNCTION("""COMPUTED_VALUE"""),"Glaucio Marafon e Geiza Rocha (Orgs.)")</f>
        <v>Glaucio Marafon e Geiza Rocha (Orgs.)</v>
      </c>
      <c r="C90" s="24" t="str">
        <f>IFERROR(__xludf.DUMMYFUNCTION("""COMPUTED_VALUE"""),"Rio de Janeiro")</f>
        <v>Rio de Janeiro</v>
      </c>
      <c r="D90" s="24" t="str">
        <f>IFERROR(__xludf.DUMMYFUNCTION("""COMPUTED_VALUE"""),"EdUERJ")</f>
        <v>EdUERJ</v>
      </c>
      <c r="E90" s="25">
        <f>IFERROR(__xludf.DUMMYFUNCTION("""COMPUTED_VALUE"""),2017.0)</f>
        <v>2017</v>
      </c>
      <c r="F90" s="24" t="str">
        <f>IFERROR(__xludf.DUMMYFUNCTION("""COMPUTED_VALUE"""),"Rio de Janeiro; Cultura; Caderno de cultura")</f>
        <v>Rio de Janeiro; Cultura; Caderno de cultura</v>
      </c>
      <c r="G90" s="28" t="str">
        <f>IFERROR(__xludf.DUMMYFUNCTION("""COMPUTED_VALUE"""),"9788575114537")</f>
        <v>9788575114537</v>
      </c>
      <c r="H90" s="29" t="str">
        <f>IFERROR(__xludf.DUMMYFUNCTION("""COMPUTED_VALUE"""),"https://www.eduerj.com/eng/?product=caderno-de-cultura-do-estado-do-rio-de-janeiro")</f>
        <v>https://www.eduerj.com/eng/?product=caderno-de-cultura-do-estado-do-rio-de-janeiro</v>
      </c>
      <c r="I90" s="24" t="str">
        <f>IFERROR(__xludf.DUMMYFUNCTION("""COMPUTED_VALUE"""),"Lingüística Letras e Artes")</f>
        <v>Lingüística Letras e Artes</v>
      </c>
    </row>
    <row r="91">
      <c r="A91" s="24" t="str">
        <f>IFERROR(__xludf.DUMMYFUNCTION("""COMPUTED_VALUE"""),"Caipora e o fim do mundo")</f>
        <v>Caipora e o fim do mundo</v>
      </c>
      <c r="B91" s="24" t="str">
        <f>IFERROR(__xludf.DUMMYFUNCTION("""COMPUTED_VALUE"""),"Nélson Barbosa de Araújo")</f>
        <v>Nélson Barbosa de Araújo</v>
      </c>
      <c r="C91" s="24" t="str">
        <f>IFERROR(__xludf.DUMMYFUNCTION("""COMPUTED_VALUE"""),"Campina Grande")</f>
        <v>Campina Grande</v>
      </c>
      <c r="D91" s="24" t="str">
        <f>IFERROR(__xludf.DUMMYFUNCTION("""COMPUTED_VALUE"""),"EDUEPB")</f>
        <v>EDUEPB</v>
      </c>
      <c r="E91" s="25">
        <f>IFERROR(__xludf.DUMMYFUNCTION("""COMPUTED_VALUE"""),2018.0)</f>
        <v>2018</v>
      </c>
      <c r="F91" s="24" t="str">
        <f>IFERROR(__xludf.DUMMYFUNCTION("""COMPUTED_VALUE"""),"Literatura de cordel. Prosa brasileira - Memórias. Literatura popular")</f>
        <v>Literatura de cordel. Prosa brasileira - Memórias. Literatura popular</v>
      </c>
      <c r="G91" s="28" t="str">
        <f>IFERROR(__xludf.DUMMYFUNCTION("""COMPUTED_VALUE"""),"9788578795092")</f>
        <v>9788578795092</v>
      </c>
      <c r="H91" s="29" t="str">
        <f>IFERROR(__xludf.DUMMYFUNCTION("""COMPUTED_VALUE"""),"http://eduepb.uepb.edu.br/download/caipora-e-o-fim-do-mundo/?wpdmdl=1085&amp;#038;masterkey=5f012ee6d1643")</f>
        <v>http://eduepb.uepb.edu.br/download/caipora-e-o-fim-do-mundo/?wpdmdl=1085&amp;#038;masterkey=5f012ee6d1643</v>
      </c>
      <c r="I91" s="24" t="str">
        <f>IFERROR(__xludf.DUMMYFUNCTION("""COMPUTED_VALUE"""),"Lingüística Letras e Artes")</f>
        <v>Lingüística Letras e Artes</v>
      </c>
    </row>
    <row r="92">
      <c r="A92" s="24" t="str">
        <f>IFERROR(__xludf.DUMMYFUNCTION("""COMPUTED_VALUE"""),"Cancioneiro do cacau")</f>
        <v>Cancioneiro do cacau</v>
      </c>
      <c r="B92" s="24" t="str">
        <f>IFERROR(__xludf.DUMMYFUNCTION("""COMPUTED_VALUE"""),"Cyro de Mattos")</f>
        <v>Cyro de Mattos</v>
      </c>
      <c r="C92" s="24" t="str">
        <f>IFERROR(__xludf.DUMMYFUNCTION("""COMPUTED_VALUE"""),"Ilhéus, BA")</f>
        <v>Ilhéus, BA</v>
      </c>
      <c r="D92" s="24" t="str">
        <f>IFERROR(__xludf.DUMMYFUNCTION("""COMPUTED_VALUE"""),"Editus")</f>
        <v>Editus</v>
      </c>
      <c r="E92" s="25">
        <f>IFERROR(__xludf.DUMMYFUNCTION("""COMPUTED_VALUE"""),2015.0)</f>
        <v>2015</v>
      </c>
      <c r="F92" s="24" t="str">
        <f>IFERROR(__xludf.DUMMYFUNCTION("""COMPUTED_VALUE"""),"Literatura brasileira – Poesia; Cacau na literatura")</f>
        <v>Literatura brasileira – Poesia; Cacau na literatura</v>
      </c>
      <c r="G92" s="28" t="str">
        <f>IFERROR(__xludf.DUMMYFUNCTION("""COMPUTED_VALUE"""),"9788574553788")</f>
        <v>9788574553788</v>
      </c>
      <c r="H92" s="29" t="str">
        <f>IFERROR(__xludf.DUMMYFUNCTION("""COMPUTED_VALUE"""),"http://www.uesc.br/editora/livrosdigitais2016/cancioneiro_do_cacau.pdf")</f>
        <v>http://www.uesc.br/editora/livrosdigitais2016/cancioneiro_do_cacau.pdf</v>
      </c>
      <c r="I92" s="24" t="str">
        <f>IFERROR(__xludf.DUMMYFUNCTION("""COMPUTED_VALUE"""),"Lingüística Letras e Artes")</f>
        <v>Lingüística Letras e Artes</v>
      </c>
    </row>
    <row r="93">
      <c r="A93" s="24" t="str">
        <f>IFERROR(__xludf.DUMMYFUNCTION("""COMPUTED_VALUE"""),"Cangaceiros a cavalo: a elipse do Realismo em narrativas de Gui marães Rosa")</f>
        <v>Cangaceiros a cavalo: a elipse do Realismo em narrativas de Gui marães Rosa</v>
      </c>
      <c r="B93" s="24" t="str">
        <f>IFERROR(__xludf.DUMMYFUNCTION("""COMPUTED_VALUE"""),"Renato Suttana")</f>
        <v>Renato Suttana</v>
      </c>
      <c r="C93" s="24" t="str">
        <f>IFERROR(__xludf.DUMMYFUNCTION("""COMPUTED_VALUE"""),"Dourados, MS")</f>
        <v>Dourados, MS</v>
      </c>
      <c r="D93" s="24" t="str">
        <f>IFERROR(__xludf.DUMMYFUNCTION("""COMPUTED_VALUE"""),"Editora da UFGD")</f>
        <v>Editora da UFGD</v>
      </c>
      <c r="E93" s="25">
        <f>IFERROR(__xludf.DUMMYFUNCTION("""COMPUTED_VALUE"""),2012.0)</f>
        <v>2012</v>
      </c>
      <c r="F93" s="24" t="str">
        <f>IFERROR(__xludf.DUMMYFUNCTION("""COMPUTED_VALUE"""),"Literatura – Crítica; Literatura brasileira; Ficção; Realismo")</f>
        <v>Literatura – Crítica; Literatura brasileira; Ficção; Realismo</v>
      </c>
      <c r="G93" s="28" t="str">
        <f>IFERROR(__xludf.DUMMYFUNCTION("""COMPUTED_VALUE"""),"9788581470030")</f>
        <v>9788581470030</v>
      </c>
      <c r="H93" s="29" t="str">
        <f>IFERROR(__xludf.DUMMYFUNCTION("""COMPUTED_VALUE"""),"http://omp.ufgd.edu.br/omp/index.php/livrosabertos/catalog/view/60/64/217-1")</f>
        <v>http://omp.ufgd.edu.br/omp/index.php/livrosabertos/catalog/view/60/64/217-1</v>
      </c>
      <c r="I93" s="24" t="str">
        <f>IFERROR(__xludf.DUMMYFUNCTION("""COMPUTED_VALUE"""),"Lingüística Letras e Artes")</f>
        <v>Lingüística Letras e Artes</v>
      </c>
    </row>
    <row r="94">
      <c r="A94" s="24" t="str">
        <f>IFERROR(__xludf.DUMMYFUNCTION("""COMPUTED_VALUE"""),"Cânone(s) e invisibilidades literárias em Angola e Moçambique (disponível temporariamente)")</f>
        <v>Cânone(s) e invisibilidades literárias em Angola e Moçambique (disponível temporariamente)</v>
      </c>
      <c r="B94" s="24" t="str">
        <f>IFERROR(__xludf.DUMMYFUNCTION("""COMPUTED_VALUE"""),"Vanessa Riambau Pinheiros; Ana Mafalda Leite")</f>
        <v>Vanessa Riambau Pinheiros; Ana Mafalda Leite</v>
      </c>
      <c r="C94" s="24" t="str">
        <f>IFERROR(__xludf.DUMMYFUNCTION("""COMPUTED_VALUE"""),"João Pessoa")</f>
        <v>João Pessoa</v>
      </c>
      <c r="D94" s="24" t="str">
        <f>IFERROR(__xludf.DUMMYFUNCTION("""COMPUTED_VALUE"""),"Editora da UFPB")</f>
        <v>Editora da UFPB</v>
      </c>
      <c r="E94" s="25">
        <f>IFERROR(__xludf.DUMMYFUNCTION("""COMPUTED_VALUE"""),2018.0)</f>
        <v>2018</v>
      </c>
      <c r="F94" s="24" t="str">
        <f>IFERROR(__xludf.DUMMYFUNCTION("""COMPUTED_VALUE"""),"Literatura – Angola – Moçambique. Literatura africana. Poética contemporânea –África. Produção literária – África")</f>
        <v>Literatura – Angola – Moçambique. Literatura africana. Poética contemporânea –África. Produção literária – África</v>
      </c>
      <c r="G94" s="28" t="str">
        <f>IFERROR(__xludf.DUMMYFUNCTION("""COMPUTED_VALUE"""),"9788523713799")</f>
        <v>9788523713799</v>
      </c>
      <c r="H94" s="29" t="str">
        <f>IFERROR(__xludf.DUMMYFUNCTION("""COMPUTED_VALUE"""),"http://www.editora.ufpb.br/sistema/press5/index.php/UFPB/catalog/book/310")</f>
        <v>http://www.editora.ufpb.br/sistema/press5/index.php/UFPB/catalog/book/310</v>
      </c>
      <c r="I94" s="24" t="str">
        <f>IFERROR(__xludf.DUMMYFUNCTION("""COMPUTED_VALUE"""),"Lingüística Letras e Artes")</f>
        <v>Lingüística Letras e Artes</v>
      </c>
    </row>
    <row r="95">
      <c r="A95" s="24" t="str">
        <f>IFERROR(__xludf.DUMMYFUNCTION("""COMPUTED_VALUE"""),"Cartografias do ensino do teatro")</f>
        <v>Cartografias do ensino do teatro</v>
      </c>
      <c r="B95" s="24" t="str">
        <f>IFERROR(__xludf.DUMMYFUNCTION("""COMPUTED_VALUE"""),"Adilson Florentino, Narciso Telles (orgs.)")</f>
        <v>Adilson Florentino, Narciso Telles (orgs.)</v>
      </c>
      <c r="C95" s="24" t="str">
        <f>IFERROR(__xludf.DUMMYFUNCTION("""COMPUTED_VALUE"""),"Uberlândia")</f>
        <v>Uberlândia</v>
      </c>
      <c r="D95" s="24" t="str">
        <f>IFERROR(__xludf.DUMMYFUNCTION("""COMPUTED_VALUE"""),"EDUFU")</f>
        <v>EDUFU</v>
      </c>
      <c r="E95" s="25">
        <f>IFERROR(__xludf.DUMMYFUNCTION("""COMPUTED_VALUE"""),2009.0)</f>
        <v>2009</v>
      </c>
      <c r="F95" s="24" t="str">
        <f>IFERROR(__xludf.DUMMYFUNCTION("""COMPUTED_VALUE"""),"Teatro. I. Florentino, Adilson. II. Telles, Narciso")</f>
        <v>Teatro. I. Florentino, Adilson. II. Telles, Narciso</v>
      </c>
      <c r="G95" s="28" t="str">
        <f>IFERROR(__xludf.DUMMYFUNCTION("""COMPUTED_VALUE"""),"9788570781901")</f>
        <v>9788570781901</v>
      </c>
      <c r="H95" s="29" t="str">
        <f>IFERROR(__xludf.DUMMYFUNCTION("""COMPUTED_VALUE"""),"http://www.edufu.ufu.br/sites/edufu.ufu.br/files/e-book_cartografias_do_teatro_2009_0.pdf")</f>
        <v>http://www.edufu.ufu.br/sites/edufu.ufu.br/files/e-book_cartografias_do_teatro_2009_0.pdf</v>
      </c>
      <c r="I95" s="24" t="str">
        <f>IFERROR(__xludf.DUMMYFUNCTION("""COMPUTED_VALUE"""),"Lingüística Letras e Artes")</f>
        <v>Lingüística Letras e Artes</v>
      </c>
    </row>
    <row r="96">
      <c r="A96" s="24" t="str">
        <f>IFERROR(__xludf.DUMMYFUNCTION("""COMPUTED_VALUE"""),"Casa-grande Severina")</f>
        <v>Casa-grande Severina</v>
      </c>
      <c r="B96" s="24" t="str">
        <f>IFERROR(__xludf.DUMMYFUNCTION("""COMPUTED_VALUE"""),"Organização de Marcelo Abreu")</f>
        <v>Organização de Marcelo Abreu</v>
      </c>
      <c r="C96" s="24" t="str">
        <f>IFERROR(__xludf.DUMMYFUNCTION("""COMPUTED_VALUE"""),"Recife")</f>
        <v>Recife</v>
      </c>
      <c r="D96" s="24" t="str">
        <f>IFERROR(__xludf.DUMMYFUNCTION("""COMPUTED_VALUE"""),"Fundação Joaquim Nabuco / Editora Massangana")</f>
        <v>Fundação Joaquim Nabuco / Editora Massangana</v>
      </c>
      <c r="E96" s="25">
        <f>IFERROR(__xludf.DUMMYFUNCTION("""COMPUTED_VALUE"""),2020.0)</f>
        <v>2020</v>
      </c>
      <c r="F96" s="24" t="str">
        <f>IFERROR(__xludf.DUMMYFUNCTION("""COMPUTED_VALUE"""),"Gilberto Freyre; crítica e interpretação; João Cabral de Melo Neto")</f>
        <v>Gilberto Freyre; crítica e interpretação; João Cabral de Melo Neto</v>
      </c>
      <c r="G96" s="28" t="str">
        <f>IFERROR(__xludf.DUMMYFUNCTION("""COMPUTED_VALUE"""),"9788570197047")</f>
        <v>9788570197047</v>
      </c>
      <c r="H96" s="29" t="str">
        <f>IFERROR(__xludf.DUMMYFUNCTION("""COMPUTED_VALUE"""),"https://www.fundaj.gov.br/images/stories/editora/livros/livro_casa_grande_severina.pdf")</f>
        <v>https://www.fundaj.gov.br/images/stories/editora/livros/livro_casa_grande_severina.pdf</v>
      </c>
      <c r="I96" s="24" t="str">
        <f>IFERROR(__xludf.DUMMYFUNCTION("""COMPUTED_VALUE"""),"Lingüística Letras e Artes")</f>
        <v>Lingüística Letras e Artes</v>
      </c>
    </row>
    <row r="97">
      <c r="A97" s="24" t="str">
        <f>IFERROR(__xludf.DUMMYFUNCTION("""COMPUTED_VALUE"""),"Cassiano Nunes: poesia e arte")</f>
        <v>Cassiano Nunes: poesia e arte</v>
      </c>
      <c r="B97" s="24" t="str">
        <f>IFERROR(__xludf.DUMMYFUNCTION("""COMPUTED_VALUE"""),"Maria de Jesus Evangelista")</f>
        <v>Maria de Jesus Evangelista</v>
      </c>
      <c r="C97" s="24" t="str">
        <f>IFERROR(__xludf.DUMMYFUNCTION("""COMPUTED_VALUE"""),"Brasília")</f>
        <v>Brasília</v>
      </c>
      <c r="D97" s="24" t="str">
        <f>IFERROR(__xludf.DUMMYFUNCTION("""COMPUTED_VALUE"""),"Editora Universidade de Brasília")</f>
        <v>Editora Universidade de Brasília</v>
      </c>
      <c r="E97" s="25">
        <f>IFERROR(__xludf.DUMMYFUNCTION("""COMPUTED_VALUE"""),2006.0)</f>
        <v>2006</v>
      </c>
      <c r="F97" s="24" t="str">
        <f>IFERROR(__xludf.DUMMYFUNCTION("""COMPUTED_VALUE"""),"Literatura brasileira - crítica, interpretação; Poesia; Artes plásticas")</f>
        <v>Literatura brasileira - crítica, interpretação; Poesia; Artes plásticas</v>
      </c>
      <c r="G97" s="28" t="str">
        <f>IFERROR(__xludf.DUMMYFUNCTION("""COMPUTED_VALUE"""),"852300825X")</f>
        <v>852300825X</v>
      </c>
      <c r="H97" s="29" t="str">
        <f>IFERROR(__xludf.DUMMYFUNCTION("""COMPUTED_VALUE"""),"https://livros.unb.br/index.php/portal/catalog/view/11/6/37-1")</f>
        <v>https://livros.unb.br/index.php/portal/catalog/view/11/6/37-1</v>
      </c>
      <c r="I97" s="24" t="str">
        <f>IFERROR(__xludf.DUMMYFUNCTION("""COMPUTED_VALUE"""),"Lingüística Letras e Artes")</f>
        <v>Lingüística Letras e Artes</v>
      </c>
    </row>
    <row r="98">
      <c r="A98" s="24" t="str">
        <f>IFERROR(__xludf.DUMMYFUNCTION("""COMPUTED_VALUE"""),"Catálogo da II Coletiva de Artistas do Sul: arte e cidade")</f>
        <v>Catálogo da II Coletiva de Artistas do Sul: arte e cidade</v>
      </c>
      <c r="B98" s="24" t="str">
        <f>IFERROR(__xludf.DUMMYFUNCTION("""COMPUTED_VALUE"""),"Reddig, Amalhame Baesso; Piccolo, Ana Clara Sombrio")</f>
        <v>Reddig, Amalhame Baesso; Piccolo, Ana Clara Sombrio</v>
      </c>
      <c r="C98" s="24" t="str">
        <f>IFERROR(__xludf.DUMMYFUNCTION("""COMPUTED_VALUE"""),"Criciúma")</f>
        <v>Criciúma</v>
      </c>
      <c r="D98" s="24" t="str">
        <f>IFERROR(__xludf.DUMMYFUNCTION("""COMPUTED_VALUE"""),"Unesc")</f>
        <v>Unesc</v>
      </c>
      <c r="E98" s="25">
        <f>IFERROR(__xludf.DUMMYFUNCTION("""COMPUTED_VALUE"""),2016.0)</f>
        <v>2016</v>
      </c>
      <c r="F98" s="24" t="str">
        <f>IFERROR(__xludf.DUMMYFUNCTION("""COMPUTED_VALUE"""),"Arte - Cultura regional - Catálogos; Artistas - Santa Catarina - Catálogos")</f>
        <v>Arte - Cultura regional - Catálogos; Artistas - Santa Catarina - Catálogos</v>
      </c>
      <c r="G98" s="28" t="str">
        <f>IFERROR(__xludf.DUMMYFUNCTION("""COMPUTED_VALUE"""),"9788584100477")</f>
        <v>9788584100477</v>
      </c>
      <c r="H98" s="29" t="str">
        <f>IFERROR(__xludf.DUMMYFUNCTION("""COMPUTED_VALUE"""),"http://repositorio.unesc.net/handle/1/4950")</f>
        <v>http://repositorio.unesc.net/handle/1/4950</v>
      </c>
      <c r="I98" s="24" t="str">
        <f>IFERROR(__xludf.DUMMYFUNCTION("""COMPUTED_VALUE"""),"Lingüística Letras e Artes")</f>
        <v>Lingüística Letras e Artes</v>
      </c>
    </row>
    <row r="99">
      <c r="A99" s="24" t="str">
        <f>IFERROR(__xludf.DUMMYFUNCTION("""COMPUTED_VALUE"""),"Catálogo de Artes da UFRPE")</f>
        <v>Catálogo de Artes da UFRPE</v>
      </c>
      <c r="B99" s="24" t="str">
        <f>IFERROR(__xludf.DUMMYFUNCTION("""COMPUTED_VALUE"""),"Énery Melo, Felipe Brito, Julio Vila Nova, Niedja Torres")</f>
        <v>Énery Melo, Felipe Brito, Julio Vila Nova, Niedja Torres</v>
      </c>
      <c r="C99" s="24" t="str">
        <f>IFERROR(__xludf.DUMMYFUNCTION("""COMPUTED_VALUE"""),"Recife")</f>
        <v>Recife</v>
      </c>
      <c r="D99" s="24" t="str">
        <f>IFERROR(__xludf.DUMMYFUNCTION("""COMPUTED_VALUE"""),"Editora Universitária da UFRPE")</f>
        <v>Editora Universitária da UFRPE</v>
      </c>
      <c r="E99" s="25">
        <f>IFERROR(__xludf.DUMMYFUNCTION("""COMPUTED_VALUE"""),2020.0)</f>
        <v>2020</v>
      </c>
      <c r="F99" s="24" t="str">
        <f>IFERROR(__xludf.DUMMYFUNCTION("""COMPUTED_VALUE"""),"Artes; Catálogos; Obras ilustradas")</f>
        <v>Artes; Catálogos; Obras ilustradas</v>
      </c>
      <c r="G99" s="28" t="str">
        <f>IFERROR(__xludf.DUMMYFUNCTION("""COMPUTED_VALUE"""),"9788579463617")</f>
        <v>9788579463617</v>
      </c>
      <c r="H99" s="29" t="str">
        <f>IFERROR(__xludf.DUMMYFUNCTION("""COMPUTED_VALUE"""),"https://drive.google.com/file/d/1LFnV1nXZ5hMataC2HCY_XKk6p3xYcJoi/view?usp=sharing ")</f>
        <v>https://drive.google.com/file/d/1LFnV1nXZ5hMataC2HCY_XKk6p3xYcJoi/view?usp=sharing </v>
      </c>
      <c r="I99" s="24" t="str">
        <f>IFERROR(__xludf.DUMMYFUNCTION("""COMPUTED_VALUE"""),"Lingüística Letras e Artes")</f>
        <v>Lingüística Letras e Artes</v>
      </c>
    </row>
    <row r="100">
      <c r="A100" s="24" t="str">
        <f>IFERROR(__xludf.DUMMYFUNCTION("""COMPUTED_VALUE"""),"Chã dos esquecidos")</f>
        <v>Chã dos esquecidos</v>
      </c>
      <c r="B100" s="24" t="str">
        <f>IFERROR(__xludf.DUMMYFUNCTION("""COMPUTED_VALUE"""),"Maria de Lourdes Nunes Ramalho; ")</f>
        <v>Maria de Lourdes Nunes Ramalho; </v>
      </c>
      <c r="C100" s="24" t="str">
        <f>IFERROR(__xludf.DUMMYFUNCTION("""COMPUTED_VALUE"""),"Campina Grande")</f>
        <v>Campina Grande</v>
      </c>
      <c r="D100" s="24" t="str">
        <f>IFERROR(__xludf.DUMMYFUNCTION("""COMPUTED_VALUE"""),"EDUEPB")</f>
        <v>EDUEPB</v>
      </c>
      <c r="E100" s="25">
        <f>IFERROR(__xludf.DUMMYFUNCTION("""COMPUTED_VALUE"""),2020.0)</f>
        <v>2020</v>
      </c>
      <c r="F100" s="24" t="str">
        <f>IFERROR(__xludf.DUMMYFUNCTION("""COMPUTED_VALUE"""),"Teatro brasileiro. Dramaturgia Ramalhiana. Literatura brasileira ")</f>
        <v>Teatro brasileiro. Dramaturgia Ramalhiana. Literatura brasileira </v>
      </c>
      <c r="G100" s="28" t="str">
        <f>IFERROR(__xludf.DUMMYFUNCTION("""COMPUTED_VALUE"""),"9786587171029")</f>
        <v>9786587171029</v>
      </c>
      <c r="H100" s="29" t="str">
        <f>IFERROR(__xludf.DUMMYFUNCTION("""COMPUTED_VALUE"""),"http://eduepb.uepb.edu.br/download/cha-dos-esquecidos/?wpdmdl=1128&amp;#038;masterkey=5f3fc3196fa09")</f>
        <v>http://eduepb.uepb.edu.br/download/cha-dos-esquecidos/?wpdmdl=1128&amp;#038;masterkey=5f3fc3196fa09</v>
      </c>
      <c r="I100" s="24" t="str">
        <f>IFERROR(__xludf.DUMMYFUNCTION("""COMPUTED_VALUE"""),"Lingüística Letras e Artes")</f>
        <v>Lingüística Letras e Artes</v>
      </c>
    </row>
    <row r="101">
      <c r="A101" s="24" t="str">
        <f>IFERROR(__xludf.DUMMYFUNCTION("""COMPUTED_VALUE"""),"Ciço de Luzia")</f>
        <v>Ciço de Luzia</v>
      </c>
      <c r="B101" s="24" t="str">
        <f>IFERROR(__xludf.DUMMYFUNCTION("""COMPUTED_VALUE"""),"José Efigênio Eloi Moura; ")</f>
        <v>José Efigênio Eloi Moura; </v>
      </c>
      <c r="C101" s="24" t="str">
        <f>IFERROR(__xludf.DUMMYFUNCTION("""COMPUTED_VALUE"""),"Campina Grande")</f>
        <v>Campina Grande</v>
      </c>
      <c r="D101" s="24" t="str">
        <f>IFERROR(__xludf.DUMMYFUNCTION("""COMPUTED_VALUE"""),"EDUEPB")</f>
        <v>EDUEPB</v>
      </c>
      <c r="E101" s="25">
        <f>IFERROR(__xludf.DUMMYFUNCTION("""COMPUTED_VALUE"""),2013.0)</f>
        <v>2013</v>
      </c>
      <c r="F101" s="24" t="str">
        <f>IFERROR(__xludf.DUMMYFUNCTION("""COMPUTED_VALUE"""),"Literatura paraibana. Romance nordestino. Cultura popular")</f>
        <v>Literatura paraibana. Romance nordestino. Cultura popular</v>
      </c>
      <c r="G101" s="28" t="str">
        <f>IFERROR(__xludf.DUMMYFUNCTION("""COMPUTED_VALUE"""),"9788563984036")</f>
        <v>9788563984036</v>
      </c>
      <c r="H101" s="29" t="str">
        <f>IFERROR(__xludf.DUMMYFUNCTION("""COMPUTED_VALUE"""),"http://eduepb.uepb.edu.br/download/cico-de-luzia/?wpdmdl=168&amp;amp;masterkey=5af9979064855")</f>
        <v>http://eduepb.uepb.edu.br/download/cico-de-luzia/?wpdmdl=168&amp;amp;masterkey=5af9979064855</v>
      </c>
      <c r="I101" s="24" t="str">
        <f>IFERROR(__xludf.DUMMYFUNCTION("""COMPUTED_VALUE"""),"Lingüística Letras e Artes")</f>
        <v>Lingüística Letras e Artes</v>
      </c>
    </row>
    <row r="102">
      <c r="A102" s="24" t="str">
        <f>IFERROR(__xludf.DUMMYFUNCTION("""COMPUTED_VALUE"""),"Clarinha e o boto")</f>
        <v>Clarinha e o boto</v>
      </c>
      <c r="B102" s="24" t="str">
        <f>IFERROR(__xludf.DUMMYFUNCTION("""COMPUTED_VALUE"""),"Enilson Amorim")</f>
        <v>Enilson Amorim</v>
      </c>
      <c r="C102" s="24" t="str">
        <f>IFERROR(__xludf.DUMMYFUNCTION("""COMPUTED_VALUE"""),"Rio Branco")</f>
        <v>Rio Branco</v>
      </c>
      <c r="D102" s="24" t="str">
        <f>IFERROR(__xludf.DUMMYFUNCTION("""COMPUTED_VALUE"""),"Edufac")</f>
        <v>Edufac</v>
      </c>
      <c r="E102" s="25">
        <f>IFERROR(__xludf.DUMMYFUNCTION("""COMPUTED_VALUE"""),2017.0)</f>
        <v>2017</v>
      </c>
      <c r="F102" s="24" t="str">
        <f>IFERROR(__xludf.DUMMYFUNCTION("""COMPUTED_VALUE"""),"Literatura infantil")</f>
        <v>Literatura infantil</v>
      </c>
      <c r="G102" s="28" t="str">
        <f>IFERROR(__xludf.DUMMYFUNCTION("""COMPUTED_VALUE"""),"9788582360514")</f>
        <v>9788582360514</v>
      </c>
      <c r="H102" s="29" t="str">
        <f>IFERROR(__xludf.DUMMYFUNCTION("""COMPUTED_VALUE"""),"http://www2.ufac.br/editora/livros/clarinha-e-o-boto.pdf")</f>
        <v>http://www2.ufac.br/editora/livros/clarinha-e-o-boto.pdf</v>
      </c>
      <c r="I102" s="24" t="str">
        <f>IFERROR(__xludf.DUMMYFUNCTION("""COMPUTED_VALUE"""),"Lingüística Letras e Artes")</f>
        <v>Lingüística Letras e Artes</v>
      </c>
    </row>
    <row r="103">
      <c r="A103" s="24" t="str">
        <f>IFERROR(__xludf.DUMMYFUNCTION("""COMPUTED_VALUE"""),"Coisa de artista: a inquietação pela autonomia")</f>
        <v>Coisa de artista: a inquietação pela autonomia</v>
      </c>
      <c r="B103" s="24" t="str">
        <f>IFERROR(__xludf.DUMMYFUNCTION("""COMPUTED_VALUE"""),"Armando Alexandre Castro , Milton Moura, Organizadores.")</f>
        <v>Armando Alexandre Castro , Milton Moura, Organizadores.</v>
      </c>
      <c r="C103" s="24" t="str">
        <f>IFERROR(__xludf.DUMMYFUNCTION("""COMPUTED_VALUE"""),"Salvador")</f>
        <v>Salvador</v>
      </c>
      <c r="D103" s="24" t="str">
        <f>IFERROR(__xludf.DUMMYFUNCTION("""COMPUTED_VALUE"""),"EDUFBA")</f>
        <v>EDUFBA</v>
      </c>
      <c r="E103" s="25">
        <f>IFERROR(__xludf.DUMMYFUNCTION("""COMPUTED_VALUE"""),2014.0)</f>
        <v>2014</v>
      </c>
      <c r="F103" s="24" t="str">
        <f>IFERROR(__xludf.DUMMYFUNCTION("""COMPUTED_VALUE"""),"Músicos; Administração; Indústria musical; Autonomia na arte; Carnaval")</f>
        <v>Músicos; Administração; Indústria musical; Autonomia na arte; Carnaval</v>
      </c>
      <c r="G103" s="28" t="str">
        <f>IFERROR(__xludf.DUMMYFUNCTION("""COMPUTED_VALUE"""),"9788523212612")</f>
        <v>9788523212612</v>
      </c>
      <c r="H103" s="29" t="str">
        <f>IFERROR(__xludf.DUMMYFUNCTION("""COMPUTED_VALUE"""),"https://repositorio.ufba.br/ri/handle/ri/15916")</f>
        <v>https://repositorio.ufba.br/ri/handle/ri/15916</v>
      </c>
      <c r="I103" s="24" t="str">
        <f>IFERROR(__xludf.DUMMYFUNCTION("""COMPUTED_VALUE"""),"Lingüística Letras e Artes")</f>
        <v>Lingüística Letras e Artes</v>
      </c>
    </row>
    <row r="104">
      <c r="A104" s="24" t="str">
        <f>IFERROR(__xludf.DUMMYFUNCTION("""COMPUTED_VALUE"""),"Coletânea a Conferência da Terra: línguas, ritos e protagonismos nos territórios indígenas: agroecologia, desenvolvimento sustentável e políticas públicas (Tomo II)")</f>
        <v>Coletânea a Conferência da Terra: línguas, ritos e protagonismos nos territórios indígenas: agroecologia, desenvolvimento sustentável e políticas públicas (Tomo II)</v>
      </c>
      <c r="B104" s="24" t="str">
        <f>IFERROR(__xludf.DUMMYFUNCTION("""COMPUTED_VALUE"""),"Antonio Tolrino de Rezende Veras; Lúcio Keury Almeida Galdino; Giovanni de Farias Seabra (org.); ")</f>
        <v>Antonio Tolrino de Rezende Veras; Lúcio Keury Almeida Galdino; Giovanni de Farias Seabra (org.); </v>
      </c>
      <c r="C104" s="24" t="str">
        <f>IFERROR(__xludf.DUMMYFUNCTION("""COMPUTED_VALUE"""),"Boa Vista ")</f>
        <v>Boa Vista </v>
      </c>
      <c r="D104" s="24" t="str">
        <f>IFERROR(__xludf.DUMMYFUNCTION("""COMPUTED_VALUE"""),"UFRR")</f>
        <v>UFRR</v>
      </c>
      <c r="E104" s="25">
        <f>IFERROR(__xludf.DUMMYFUNCTION("""COMPUTED_VALUE"""),2020.0)</f>
        <v>2020</v>
      </c>
      <c r="F104" s="24" t="str">
        <f>IFERROR(__xludf.DUMMYFUNCTION("""COMPUTED_VALUE"""),"Território indígena; Agroecologia; Políticas públicas; Desenvolvimento sustentável; Território indígena")</f>
        <v>Território indígena; Agroecologia; Políticas públicas; Desenvolvimento sustentável; Território indígena</v>
      </c>
      <c r="G104" s="28" t="str">
        <f>IFERROR(__xludf.DUMMYFUNCTION("""COMPUTED_VALUE"""),"9786586062076")</f>
        <v>9786586062076</v>
      </c>
      <c r="H104" s="29" t="str">
        <f>IFERROR(__xludf.DUMMYFUNCTION("""COMPUTED_VALUE"""),"http://ufrr.br/editora/index.php/editais?download=435")</f>
        <v>http://ufrr.br/editora/index.php/editais?download=435</v>
      </c>
      <c r="I104" s="24" t="str">
        <f>IFERROR(__xludf.DUMMYFUNCTION("""COMPUTED_VALUE"""),"Lingüística Letras e Artes")</f>
        <v>Lingüística Letras e Artes</v>
      </c>
    </row>
    <row r="105">
      <c r="A105" s="24" t="str">
        <f>IFERROR(__xludf.DUMMYFUNCTION("""COMPUTED_VALUE"""),"Coletânea de contos e crônicas (II Prêmio UFES de Literatura)")</f>
        <v>Coletânea de contos e crônicas (II Prêmio UFES de Literatura)</v>
      </c>
      <c r="B105" s="24" t="str">
        <f>IFERROR(__xludf.DUMMYFUNCTION("""COMPUTED_VALUE"""),"Editora da Universidade Federal do Espírito Santo (org.)")</f>
        <v>Editora da Universidade Federal do Espírito Santo (org.)</v>
      </c>
      <c r="C105" s="24" t="str">
        <f>IFERROR(__xludf.DUMMYFUNCTION("""COMPUTED_VALUE"""),"Vitória")</f>
        <v>Vitória</v>
      </c>
      <c r="D105" s="24" t="str">
        <f>IFERROR(__xludf.DUMMYFUNCTION("""COMPUTED_VALUE"""),"EDUFES")</f>
        <v>EDUFES</v>
      </c>
      <c r="E105" s="25">
        <f>IFERROR(__xludf.DUMMYFUNCTION("""COMPUTED_VALUE"""),2015.0)</f>
        <v>2015</v>
      </c>
      <c r="F105" s="24" t="str">
        <f>IFERROR(__xludf.DUMMYFUNCTION("""COMPUTED_VALUE"""),"Literatura brasileira; Contos brasileiros; Crônicas brasileiras")</f>
        <v>Literatura brasileira; Contos brasileiros; Crônicas brasileiras</v>
      </c>
      <c r="G105" s="28" t="str">
        <f>IFERROR(__xludf.DUMMYFUNCTION("""COMPUTED_VALUE"""),"9788577722921")</f>
        <v>9788577722921</v>
      </c>
      <c r="H105" s="29" t="str">
        <f>IFERROR(__xludf.DUMMYFUNCTION("""COMPUTED_VALUE"""),"http://repositorio.ufes.br/bitstream/10/1509/1/Coletanea%20de%20contos%20%26%20cronicas.pdf")</f>
        <v>http://repositorio.ufes.br/bitstream/10/1509/1/Coletanea%20de%20contos%20%26%20cronicas.pdf</v>
      </c>
      <c r="I105" s="24" t="str">
        <f>IFERROR(__xludf.DUMMYFUNCTION("""COMPUTED_VALUE"""),"Lingüística Letras e Artes")</f>
        <v>Lingüística Letras e Artes</v>
      </c>
    </row>
    <row r="106">
      <c r="A106" s="24" t="str">
        <f>IFERROR(__xludf.DUMMYFUNCTION("""COMPUTED_VALUE"""),"Coletânea de poemas (II Prêmio UFES de Literatura)")</f>
        <v>Coletânea de poemas (II Prêmio UFES de Literatura)</v>
      </c>
      <c r="B106" s="24" t="str">
        <f>IFERROR(__xludf.DUMMYFUNCTION("""COMPUTED_VALUE"""),"Editora da Universidade Federal do Espírito Santo (org.)")</f>
        <v>Editora da Universidade Federal do Espírito Santo (org.)</v>
      </c>
      <c r="C106" s="24" t="str">
        <f>IFERROR(__xludf.DUMMYFUNCTION("""COMPUTED_VALUE"""),"Vitória")</f>
        <v>Vitória</v>
      </c>
      <c r="D106" s="24" t="str">
        <f>IFERROR(__xludf.DUMMYFUNCTION("""COMPUTED_VALUE"""),"EDUFES")</f>
        <v>EDUFES</v>
      </c>
      <c r="E106" s="25">
        <f>IFERROR(__xludf.DUMMYFUNCTION("""COMPUTED_VALUE"""),2015.0)</f>
        <v>2015</v>
      </c>
      <c r="F106" s="24" t="str">
        <f>IFERROR(__xludf.DUMMYFUNCTION("""COMPUTED_VALUE"""),"Literatura brasileira; Poesia; Poesia brasileira")</f>
        <v>Literatura brasileira; Poesia; Poesia brasileira</v>
      </c>
      <c r="G106" s="28" t="str">
        <f>IFERROR(__xludf.DUMMYFUNCTION("""COMPUTED_VALUE"""),"9788577722945")</f>
        <v>9788577722945</v>
      </c>
      <c r="H106" s="29" t="str">
        <f>IFERROR(__xludf.DUMMYFUNCTION("""COMPUTED_VALUE"""),"http://repositorio.ufes.br/bitstream/10/1508/1/Colet%C3%A2nea%20de%20poemas.pdf")</f>
        <v>http://repositorio.ufes.br/bitstream/10/1508/1/Colet%C3%A2nea%20de%20poemas.pdf</v>
      </c>
      <c r="I106" s="24" t="str">
        <f>IFERROR(__xludf.DUMMYFUNCTION("""COMPUTED_VALUE"""),"Lingüística Letras e Artes")</f>
        <v>Lingüística Letras e Artes</v>
      </c>
    </row>
    <row r="107">
      <c r="A107" s="24" t="str">
        <f>IFERROR(__xludf.DUMMYFUNCTION("""COMPUTED_VALUE"""),"Coletânea linguagens: teorias e práticas v. 1 ")</f>
        <v>Coletânea linguagens: teorias e práticas v. 1 </v>
      </c>
      <c r="B107" s="24" t="str">
        <f>IFERROR(__xludf.DUMMYFUNCTION("""COMPUTED_VALUE"""),"Adriana Helena de Oliveira Albano; Thaisy Bentes; Fabiano Tadeu Grazioli (org.)")</f>
        <v>Adriana Helena de Oliveira Albano; Thaisy Bentes; Fabiano Tadeu Grazioli (org.)</v>
      </c>
      <c r="C107" s="24" t="str">
        <f>IFERROR(__xludf.DUMMYFUNCTION("""COMPUTED_VALUE"""),"Boa Vista ")</f>
        <v>Boa Vista </v>
      </c>
      <c r="D107" s="24" t="str">
        <f>IFERROR(__xludf.DUMMYFUNCTION("""COMPUTED_VALUE"""),"UFRR")</f>
        <v>UFRR</v>
      </c>
      <c r="E107" s="25">
        <f>IFERROR(__xludf.DUMMYFUNCTION("""COMPUTED_VALUE"""),2020.0)</f>
        <v>2020</v>
      </c>
      <c r="F107" s="24" t="str">
        <f>IFERROR(__xludf.DUMMYFUNCTION("""COMPUTED_VALUE"""),"Linguística; Ensino de língua portuguesa; Línguas indígenas; Negros na literatura; Língua inglesa")</f>
        <v>Linguística; Ensino de língua portuguesa; Línguas indígenas; Negros na literatura; Língua inglesa</v>
      </c>
      <c r="G107" s="28" t="str">
        <f>IFERROR(__xludf.DUMMYFUNCTION("""COMPUTED_VALUE"""),"786586062533")</f>
        <v>786586062533</v>
      </c>
      <c r="H107" s="29" t="str">
        <f>IFERROR(__xludf.DUMMYFUNCTION("""COMPUTED_VALUE"""),"http://ufrr.br/editora/index.php/editais?download=450")</f>
        <v>http://ufrr.br/editora/index.php/editais?download=450</v>
      </c>
      <c r="I107" s="24" t="str">
        <f>IFERROR(__xludf.DUMMYFUNCTION("""COMPUTED_VALUE"""),"Lingüística Letras e Artes")</f>
        <v>Lingüística Letras e Artes</v>
      </c>
    </row>
    <row r="108">
      <c r="A108" s="24" t="str">
        <f>IFERROR(__xludf.DUMMYFUNCTION("""COMPUTED_VALUE"""),"Colóquio Internacional 100 anos de Jorge Amado: História, Literatura e Cultura")</f>
        <v>Colóquio Internacional 100 anos de Jorge Amado: História, Literatura e Cultura</v>
      </c>
      <c r="B108" s="24" t="str">
        <f>IFERROR(__xludf.DUMMYFUNCTION("""COMPUTED_VALUE"""),"Organizadores Flávio Gonçalves dos Santos, Inara de Oliveira Rodrigues")</f>
        <v>Organizadores Flávio Gonçalves dos Santos, Inara de Oliveira Rodrigues</v>
      </c>
      <c r="C108" s="24" t="str">
        <f>IFERROR(__xludf.DUMMYFUNCTION("""COMPUTED_VALUE"""),"Ilhéus, BA")</f>
        <v>Ilhéus, BA</v>
      </c>
      <c r="D108" s="24" t="str">
        <f>IFERROR(__xludf.DUMMYFUNCTION("""COMPUTED_VALUE"""),"Editus")</f>
        <v>Editus</v>
      </c>
      <c r="E108" s="25">
        <f>IFERROR(__xludf.DUMMYFUNCTION("""COMPUTED_VALUE"""),2013.0)</f>
        <v>2013</v>
      </c>
      <c r="F108" s="24" t="str">
        <f>IFERROR(__xludf.DUMMYFUNCTION("""COMPUTED_VALUE"""),"Literatura brasileira – História e crítica; Amado, Jorge, 1912-; 200")</f>
        <v>Literatura brasileira – História e crítica; Amado, Jorge, 1912-; 200</v>
      </c>
      <c r="G108" s="28" t="str">
        <f>IFERROR(__xludf.DUMMYFUNCTION("""COMPUTED_VALUE"""),"9788574553146")</f>
        <v>9788574553146</v>
      </c>
      <c r="H108" s="29" t="str">
        <f>IFERROR(__xludf.DUMMYFUNCTION("""COMPUTED_VALUE"""),"http://www.uesc.br/editora/livrosdigitais/ci100ja.pdf")</f>
        <v>http://www.uesc.br/editora/livrosdigitais/ci100ja.pdf</v>
      </c>
      <c r="I108" s="24" t="str">
        <f>IFERROR(__xludf.DUMMYFUNCTION("""COMPUTED_VALUE"""),"Lingüística Letras e Artes")</f>
        <v>Lingüística Letras e Artes</v>
      </c>
    </row>
    <row r="109">
      <c r="A109" s="24" t="str">
        <f>IFERROR(__xludf.DUMMYFUNCTION("""COMPUTED_VALUE"""),"Com dias cantados (II Prêmio UFES de Literatura)")</f>
        <v>Com dias cantados (II Prêmio UFES de Literatura)</v>
      </c>
      <c r="B109" s="24" t="str">
        <f>IFERROR(__xludf.DUMMYFUNCTION("""COMPUTED_VALUE"""),"Israel Rozário")</f>
        <v>Israel Rozário</v>
      </c>
      <c r="C109" s="24" t="str">
        <f>IFERROR(__xludf.DUMMYFUNCTION("""COMPUTED_VALUE"""),"Vitória")</f>
        <v>Vitória</v>
      </c>
      <c r="D109" s="24" t="str">
        <f>IFERROR(__xludf.DUMMYFUNCTION("""COMPUTED_VALUE"""),"EDUFES")</f>
        <v>EDUFES</v>
      </c>
      <c r="E109" s="25">
        <f>IFERROR(__xludf.DUMMYFUNCTION("""COMPUTED_VALUE"""),2015.0)</f>
        <v>2015</v>
      </c>
      <c r="F109" s="24" t="str">
        <f>IFERROR(__xludf.DUMMYFUNCTION("""COMPUTED_VALUE"""),"Poesia brasileira; Literatura brasileira; Poesia")</f>
        <v>Poesia brasileira; Literatura brasileira; Poesia</v>
      </c>
      <c r="G109" s="28" t="str">
        <f>IFERROR(__xludf.DUMMYFUNCTION("""COMPUTED_VALUE"""),"9788577722938")</f>
        <v>9788577722938</v>
      </c>
      <c r="H109" s="29" t="str">
        <f>IFERROR(__xludf.DUMMYFUNCTION("""COMPUTED_VALUE"""),"http://repositorio.ufes.br/bitstream/10/1504/1/Com%20dias%20cantados.pdf")</f>
        <v>http://repositorio.ufes.br/bitstream/10/1504/1/Com%20dias%20cantados.pdf</v>
      </c>
      <c r="I109" s="24" t="str">
        <f>IFERROR(__xludf.DUMMYFUNCTION("""COMPUTED_VALUE"""),"Lingüística Letras e Artes")</f>
        <v>Lingüística Letras e Artes</v>
      </c>
    </row>
    <row r="110">
      <c r="A110" s="24" t="str">
        <f>IFERROR(__xludf.DUMMYFUNCTION("""COMPUTED_VALUE"""),"Com o mar entre os dedos")</f>
        <v>Com o mar entre os dedos</v>
      </c>
      <c r="B110" s="24" t="str">
        <f>IFERROR(__xludf.DUMMYFUNCTION("""COMPUTED_VALUE"""),"Antônio Lopes")</f>
        <v>Antônio Lopes</v>
      </c>
      <c r="C110" s="24" t="str">
        <f>IFERROR(__xludf.DUMMYFUNCTION("""COMPUTED_VALUE"""),"Ilhéus, BA")</f>
        <v>Ilhéus, BA</v>
      </c>
      <c r="D110" s="24" t="str">
        <f>IFERROR(__xludf.DUMMYFUNCTION("""COMPUTED_VALUE"""),"Editus")</f>
        <v>Editus</v>
      </c>
      <c r="E110" s="25">
        <f>IFERROR(__xludf.DUMMYFUNCTION("""COMPUTED_VALUE"""),2015.0)</f>
        <v>2015</v>
      </c>
      <c r="F110" s="24" t="str">
        <f>IFERROR(__xludf.DUMMYFUNCTION("""COMPUTED_VALUE"""),"Crônicas brasileiras; Literatura brasileira")</f>
        <v>Crônicas brasileiras; Literatura brasileira</v>
      </c>
      <c r="G110" s="28" t="str">
        <f>IFERROR(__xludf.DUMMYFUNCTION("""COMPUTED_VALUE"""),"9788574553931")</f>
        <v>9788574553931</v>
      </c>
      <c r="H110" s="29" t="str">
        <f>IFERROR(__xludf.DUMMYFUNCTION("""COMPUTED_VALUE"""),"http://www.uesc.br/editora/livrosdigitais2016/com_mar_entre_dedos.pdf")</f>
        <v>http://www.uesc.br/editora/livrosdigitais2016/com_mar_entre_dedos.pdf</v>
      </c>
      <c r="I110" s="24" t="str">
        <f>IFERROR(__xludf.DUMMYFUNCTION("""COMPUTED_VALUE"""),"Lingüística Letras e Artes")</f>
        <v>Lingüística Letras e Artes</v>
      </c>
    </row>
    <row r="111">
      <c r="A111" s="24" t="str">
        <f>IFERROR(__xludf.DUMMYFUNCTION("""COMPUTED_VALUE"""),"Compreensão de leitura: o papel do processo inferencial — coleção olhares —")</f>
        <v>Compreensão de leitura: o papel do processo inferencial — coleção olhares —</v>
      </c>
      <c r="B111" s="24" t="str">
        <f>IFERROR(__xludf.DUMMYFUNCTION("""COMPUTED_VALUE"""),"Marco Antônio Rosa Machado")</f>
        <v>Marco Antônio Rosa Machado</v>
      </c>
      <c r="C111" s="24" t="str">
        <f>IFERROR(__xludf.DUMMYFUNCTION("""COMPUTED_VALUE"""),"Anápolis")</f>
        <v>Anápolis</v>
      </c>
      <c r="D111" s="24" t="str">
        <f>IFERROR(__xludf.DUMMYFUNCTION("""COMPUTED_VALUE"""),"UEG")</f>
        <v>UEG</v>
      </c>
      <c r="E111" s="25">
        <f>IFERROR(__xludf.DUMMYFUNCTION("""COMPUTED_VALUE"""),2010.0)</f>
        <v>2010</v>
      </c>
      <c r="F111" s="24" t="str">
        <f>IFERROR(__xludf.DUMMYFUNCTION("""COMPUTED_VALUE"""),"Interpretação de texto; Leitura")</f>
        <v>Interpretação de texto; Leitura</v>
      </c>
      <c r="G111" s="28" t="str">
        <f>IFERROR(__xludf.DUMMYFUNCTION("""COMPUTED_VALUE"""),"9788563192110")</f>
        <v>9788563192110</v>
      </c>
      <c r="H111" s="29" t="str">
        <f>IFERROR(__xludf.DUMMYFUNCTION("""COMPUTED_VALUE"""),"http://cdn.ueg.edu.br/source/editora_ueg/conteudoN/4946/pdf_colecao_olhares/livro07_marco_antonio_rosa.pdf")</f>
        <v>http://cdn.ueg.edu.br/source/editora_ueg/conteudoN/4946/pdf_colecao_olhares/livro07_marco_antonio_rosa.pdf</v>
      </c>
      <c r="I111" s="24" t="str">
        <f>IFERROR(__xludf.DUMMYFUNCTION("""COMPUTED_VALUE"""),"Lingüística Letras e Artes")</f>
        <v>Lingüística Letras e Artes</v>
      </c>
    </row>
    <row r="112">
      <c r="A112" s="24" t="str">
        <f>IFERROR(__xludf.DUMMYFUNCTION("""COMPUTED_VALUE"""),"Comunicação e regionalidade")</f>
        <v>Comunicação e regionalidade</v>
      </c>
      <c r="B112" s="24" t="str">
        <f>IFERROR(__xludf.DUMMYFUNCTION("""COMPUTED_VALUE"""),"Antonio Carlos Sardinha; Marli Barboza da Silva; Edileusa Gimenes Moralis")</f>
        <v>Antonio Carlos Sardinha; Marli Barboza da Silva; Edileusa Gimenes Moralis</v>
      </c>
      <c r="C112" s="24" t="str">
        <f>IFERROR(__xludf.DUMMYFUNCTION("""COMPUTED_VALUE"""),"Cáceres")</f>
        <v>Cáceres</v>
      </c>
      <c r="D112" s="24" t="str">
        <f>IFERROR(__xludf.DUMMYFUNCTION("""COMPUTED_VALUE"""),"UNEMAT")</f>
        <v>UNEMAT</v>
      </c>
      <c r="E112" s="25">
        <f>IFERROR(__xludf.DUMMYFUNCTION("""COMPUTED_VALUE"""),2013.0)</f>
        <v>2013</v>
      </c>
      <c r="F112" s="24" t="str">
        <f>IFERROR(__xludf.DUMMYFUNCTION("""COMPUTED_VALUE"""),"Linguagem; Línguas")</f>
        <v>Linguagem; Línguas</v>
      </c>
      <c r="G112" s="28" t="str">
        <f>IFERROR(__xludf.DUMMYFUNCTION("""COMPUTED_VALUE"""),"9788579110788")</f>
        <v>9788579110788</v>
      </c>
      <c r="H112" s="29" t="str">
        <f>IFERROR(__xludf.DUMMYFUNCTION("""COMPUTED_VALUE"""),"http://www.unemat.br/reitoria/editora/downloads/eletronico/comunicacao_e_regionalidades.pdf")</f>
        <v>http://www.unemat.br/reitoria/editora/downloads/eletronico/comunicacao_e_regionalidades.pdf</v>
      </c>
      <c r="I112" s="24" t="str">
        <f>IFERROR(__xludf.DUMMYFUNCTION("""COMPUTED_VALUE"""),"Lingüística Letras e Artes")</f>
        <v>Lingüística Letras e Artes</v>
      </c>
    </row>
    <row r="113">
      <c r="A113" s="24" t="str">
        <f>IFERROR(__xludf.DUMMYFUNCTION("""COMPUTED_VALUE"""),"Conexões: ensaios de história da arte")</f>
        <v>Conexões: ensaios de história da arte</v>
      </c>
      <c r="B113" s="24" t="str">
        <f>IFERROR(__xludf.DUMMYFUNCTION("""COMPUTED_VALUE"""),"Maria Berbara, Roberto Conduru e Vera Beatriz Siqueira (orgs.)")</f>
        <v>Maria Berbara, Roberto Conduru e Vera Beatriz Siqueira (orgs.)</v>
      </c>
      <c r="C113" s="24" t="str">
        <f>IFERROR(__xludf.DUMMYFUNCTION("""COMPUTED_VALUE"""),"Rio de Janeiro")</f>
        <v>Rio de Janeiro</v>
      </c>
      <c r="D113" s="24" t="str">
        <f>IFERROR(__xludf.DUMMYFUNCTION("""COMPUTED_VALUE"""),"EdUERJ")</f>
        <v>EdUERJ</v>
      </c>
      <c r="E113" s="25">
        <f>IFERROR(__xludf.DUMMYFUNCTION("""COMPUTED_VALUE"""),2014.0)</f>
        <v>2014</v>
      </c>
      <c r="F113" s="24" t="str">
        <f>IFERROR(__xludf.DUMMYFUNCTION("""COMPUTED_VALUE"""),"Arte; História; História da arte")</f>
        <v>Arte; História; História da arte</v>
      </c>
      <c r="G113" s="28" t="str">
        <f>IFERROR(__xludf.DUMMYFUNCTION("""COMPUTED_VALUE"""),"9788575113431")</f>
        <v>9788575113431</v>
      </c>
      <c r="H113" s="29" t="str">
        <f>IFERROR(__xludf.DUMMYFUNCTION("""COMPUTED_VALUE"""),"https://www.eduerj.com/eng/?product=conexoes-ensaios-de-historia-da-arte-ebook")</f>
        <v>https://www.eduerj.com/eng/?product=conexoes-ensaios-de-historia-da-arte-ebook</v>
      </c>
      <c r="I113" s="24" t="str">
        <f>IFERROR(__xludf.DUMMYFUNCTION("""COMPUTED_VALUE"""),"Lingüística Letras e Artes")</f>
        <v>Lingüística Letras e Artes</v>
      </c>
    </row>
    <row r="114">
      <c r="A114" s="24" t="str">
        <f>IFERROR(__xludf.DUMMYFUNCTION("""COMPUTED_VALUE"""),"Contos a contar ; contos contados ")</f>
        <v>Contos a contar ; contos contados </v>
      </c>
      <c r="B114" s="24" t="str">
        <f>IFERROR(__xludf.DUMMYFUNCTION("""COMPUTED_VALUE"""),"Leônidas Azevedo Filho")</f>
        <v>Leônidas Azevedo Filho</v>
      </c>
      <c r="C114" s="24" t="str">
        <f>IFERROR(__xludf.DUMMYFUNCTION("""COMPUTED_VALUE"""),"Ilhéus, BA")</f>
        <v>Ilhéus, BA</v>
      </c>
      <c r="D114" s="24" t="str">
        <f>IFERROR(__xludf.DUMMYFUNCTION("""COMPUTED_VALUE"""),"Editus")</f>
        <v>Editus</v>
      </c>
      <c r="E114" s="25">
        <f>IFERROR(__xludf.DUMMYFUNCTION("""COMPUTED_VALUE"""),2014.0)</f>
        <v>2014</v>
      </c>
      <c r="F114" s="24" t="str">
        <f>IFERROR(__xludf.DUMMYFUNCTION("""COMPUTED_VALUE"""),"Literatura infanto-juvenil brasileira")</f>
        <v>Literatura infanto-juvenil brasileira</v>
      </c>
      <c r="G114" s="28" t="str">
        <f>IFERROR(__xludf.DUMMYFUNCTION("""COMPUTED_VALUE"""),"9788574552316")</f>
        <v>9788574552316</v>
      </c>
      <c r="H114" s="29" t="str">
        <f>IFERROR(__xludf.DUMMYFUNCTION("""COMPUTED_VALUE"""),"http://www.uesc.br/editora/livrosdigitais2017/contos_a_contar.pdf")</f>
        <v>http://www.uesc.br/editora/livrosdigitais2017/contos_a_contar.pdf</v>
      </c>
      <c r="I114" s="24" t="str">
        <f>IFERROR(__xludf.DUMMYFUNCTION("""COMPUTED_VALUE"""),"Lingüística Letras e Artes")</f>
        <v>Lingüística Letras e Artes</v>
      </c>
    </row>
    <row r="115">
      <c r="A115" s="24" t="str">
        <f>IFERROR(__xludf.DUMMYFUNCTION("""COMPUTED_VALUE"""),"Contribuições ao ensino de literatura")</f>
        <v>Contribuições ao ensino de literatura</v>
      </c>
      <c r="B115" s="24" t="str">
        <f>IFERROR(__xludf.DUMMYFUNCTION("""COMPUTED_VALUE"""),"Gisela Maria de Lima Braga Penha; João Carlos de Souza Ribeiro; Natália Oliveira Jung (org.)")</f>
        <v>Gisela Maria de Lima Braga Penha; João Carlos de Souza Ribeiro; Natália Oliveira Jung (org.)</v>
      </c>
      <c r="C115" s="24" t="str">
        <f>IFERROR(__xludf.DUMMYFUNCTION("""COMPUTED_VALUE"""),"Rio Branco")</f>
        <v>Rio Branco</v>
      </c>
      <c r="D115" s="24" t="str">
        <f>IFERROR(__xludf.DUMMYFUNCTION("""COMPUTED_VALUE"""),"Edufac")</f>
        <v>Edufac</v>
      </c>
      <c r="E115" s="25">
        <f>IFERROR(__xludf.DUMMYFUNCTION("""COMPUTED_VALUE"""),2018.0)</f>
        <v>2018</v>
      </c>
      <c r="F115" s="24" t="str">
        <f>IFERROR(__xludf.DUMMYFUNCTION("""COMPUTED_VALUE"""),"Literatura; Literatura – Estudo e ensino; Literatura infantil")</f>
        <v>Literatura; Literatura – Estudo e ensino; Literatura infantil</v>
      </c>
      <c r="G115" s="28" t="str">
        <f>IFERROR(__xludf.DUMMYFUNCTION("""COMPUTED_VALUE"""),"9788582360576")</f>
        <v>9788582360576</v>
      </c>
      <c r="H115" s="29" t="str">
        <f>IFERROR(__xludf.DUMMYFUNCTION("""COMPUTED_VALUE"""),"http://www2.ufac.br/editora/livros/Contribuicoesaoensinodeliteratura.pdf")</f>
        <v>http://www2.ufac.br/editora/livros/Contribuicoesaoensinodeliteratura.pdf</v>
      </c>
      <c r="I115" s="24" t="str">
        <f>IFERROR(__xludf.DUMMYFUNCTION("""COMPUTED_VALUE"""),"Lingüística Letras e Artes")</f>
        <v>Lingüística Letras e Artes</v>
      </c>
    </row>
    <row r="116">
      <c r="A116" s="24" t="str">
        <f>IFERROR(__xludf.DUMMYFUNCTION("""COMPUTED_VALUE"""),"Conversações com fazedores e pensadores de e em arte")</f>
        <v>Conversações com fazedores e pensadores de e em arte</v>
      </c>
      <c r="B116" s="24" t="str">
        <f>IFERROR(__xludf.DUMMYFUNCTION("""COMPUTED_VALUE"""),"Lenzi, Teresa Martins ")</f>
        <v>Lenzi, Teresa Martins </v>
      </c>
      <c r="C116" s="24" t="str">
        <f>IFERROR(__xludf.DUMMYFUNCTION("""COMPUTED_VALUE"""),"Porto Alegre")</f>
        <v>Porto Alegre</v>
      </c>
      <c r="D116" s="24" t="str">
        <f>IFERROR(__xludf.DUMMYFUNCTION("""COMPUTED_VALUE"""),"UFRGS")</f>
        <v>UFRGS</v>
      </c>
      <c r="E116" s="25">
        <f>IFERROR(__xludf.DUMMYFUNCTION("""COMPUTED_VALUE"""),2020.0)</f>
        <v>2020</v>
      </c>
      <c r="F116" s="24" t="str">
        <f>IFERROR(__xludf.DUMMYFUNCTION("""COMPUTED_VALUE"""),"Artes; Cultura; Entrevista; Pensadores")</f>
        <v>Artes; Cultura; Entrevista; Pensadores</v>
      </c>
      <c r="G116" s="28" t="str">
        <f>IFERROR(__xludf.DUMMYFUNCTION("""COMPUTED_VALUE"""),"9786557250181")</f>
        <v>9786557250181</v>
      </c>
      <c r="H116" s="29" t="str">
        <f>IFERROR(__xludf.DUMMYFUNCTION("""COMPUTED_VALUE"""),"http://hdl.handle.net/10183/213600")</f>
        <v>http://hdl.handle.net/10183/213600</v>
      </c>
      <c r="I116" s="24" t="str">
        <f>IFERROR(__xludf.DUMMYFUNCTION("""COMPUTED_VALUE"""),"Lingüística Letras e Artes")</f>
        <v>Lingüística Letras e Artes</v>
      </c>
    </row>
    <row r="117">
      <c r="A117" s="24" t="str">
        <f>IFERROR(__xludf.DUMMYFUNCTION("""COMPUTED_VALUE"""),"Conversas com a paisagem")</f>
        <v>Conversas com a paisagem</v>
      </c>
      <c r="B117" s="24" t="str">
        <f>IFERROR(__xludf.DUMMYFUNCTION("""COMPUTED_VALUE"""),"Rafael Pagatini")</f>
        <v>Rafael Pagatini</v>
      </c>
      <c r="C117" s="24" t="str">
        <f>IFERROR(__xludf.DUMMYFUNCTION("""COMPUTED_VALUE"""),"Vitória")</f>
        <v>Vitória</v>
      </c>
      <c r="D117" s="24" t="str">
        <f>IFERROR(__xludf.DUMMYFUNCTION("""COMPUTED_VALUE"""),"EDUFES")</f>
        <v>EDUFES</v>
      </c>
      <c r="E117" s="25">
        <f>IFERROR(__xludf.DUMMYFUNCTION("""COMPUTED_VALUE"""),2013.0)</f>
        <v>2013</v>
      </c>
      <c r="F117" s="24" t="str">
        <f>IFERROR(__xludf.DUMMYFUNCTION("""COMPUTED_VALUE"""),"Artes plásticas; Arte contemporânea; Paisagem")</f>
        <v>Artes plásticas; Arte contemporânea; Paisagem</v>
      </c>
      <c r="G117" s="28" t="str">
        <f>IFERROR(__xludf.DUMMYFUNCTION("""COMPUTED_VALUE"""),"9788577721658")</f>
        <v>9788577721658</v>
      </c>
      <c r="H117" s="29" t="str">
        <f>IFERROR(__xludf.DUMMYFUNCTION("""COMPUTED_VALUE"""),"http://repositorio.ufes.br/handle/10/859")</f>
        <v>http://repositorio.ufes.br/handle/10/859</v>
      </c>
      <c r="I117" s="24" t="str">
        <f>IFERROR(__xludf.DUMMYFUNCTION("""COMPUTED_VALUE"""),"Lingüística Letras e Artes")</f>
        <v>Lingüística Letras e Artes</v>
      </c>
    </row>
    <row r="118">
      <c r="A118" s="24" t="str">
        <f>IFERROR(__xludf.DUMMYFUNCTION("""COMPUTED_VALUE"""),"Conversões de Maruland")</f>
        <v>Conversões de Maruland</v>
      </c>
      <c r="B118" s="24" t="str">
        <f>IFERROR(__xludf.DUMMYFUNCTION("""COMPUTED_VALUE"""),"Adriana Falqueto Lemos, Andreia Falqueto")</f>
        <v>Adriana Falqueto Lemos, Andreia Falqueto</v>
      </c>
      <c r="C118" s="24" t="str">
        <f>IFERROR(__xludf.DUMMYFUNCTION("""COMPUTED_VALUE"""),"Vitória")</f>
        <v>Vitória</v>
      </c>
      <c r="D118" s="24" t="str">
        <f>IFERROR(__xludf.DUMMYFUNCTION("""COMPUTED_VALUE"""),"EDUFES")</f>
        <v>EDUFES</v>
      </c>
      <c r="E118" s="25">
        <f>IFERROR(__xludf.DUMMYFUNCTION("""COMPUTED_VALUE"""),2013.0)</f>
        <v>2013</v>
      </c>
      <c r="F118" s="24" t="str">
        <f>IFERROR(__xludf.DUMMYFUNCTION("""COMPUTED_VALUE"""),"Literatura infanto-juvenil brasileira; Ficção brasileira; Adolescência")</f>
        <v>Literatura infanto-juvenil brasileira; Ficção brasileira; Adolescência</v>
      </c>
      <c r="G118" s="28" t="str">
        <f>IFERROR(__xludf.DUMMYFUNCTION("""COMPUTED_VALUE"""),"9788577721603")</f>
        <v>9788577721603</v>
      </c>
      <c r="H118" s="29" t="str">
        <f>IFERROR(__xludf.DUMMYFUNCTION("""COMPUTED_VALUE"""),"http://repositorio.ufes.br/bitstream/10/861/6/livro%20edufes%20conversoes%20de%20Maruland.pdf")</f>
        <v>http://repositorio.ufes.br/bitstream/10/861/6/livro%20edufes%20conversoes%20de%20Maruland.pdf</v>
      </c>
      <c r="I118" s="24" t="str">
        <f>IFERROR(__xludf.DUMMYFUNCTION("""COMPUTED_VALUE"""),"Lingüística Letras e Artes")</f>
        <v>Lingüística Letras e Artes</v>
      </c>
    </row>
    <row r="119">
      <c r="A119" s="24" t="str">
        <f>IFERROR(__xludf.DUMMYFUNCTION("""COMPUTED_VALUE"""),"CORPO E MOVIMENTO Corpo e Cultura v.1")</f>
        <v>CORPO E MOVIMENTO Corpo e Cultura v.1</v>
      </c>
      <c r="B119" s="24" t="str">
        <f>IFERROR(__xludf.DUMMYFUNCTION("""COMPUTED_VALUE"""),"Maria Cristina Rosa, Juliana Castro Berganini (org.)")</f>
        <v>Maria Cristina Rosa, Juliana Castro Berganini (org.)</v>
      </c>
      <c r="C119" s="24" t="str">
        <f>IFERROR(__xludf.DUMMYFUNCTION("""COMPUTED_VALUE"""),"Ouro Preto")</f>
        <v>Ouro Preto</v>
      </c>
      <c r="D119" s="24" t="str">
        <f>IFERROR(__xludf.DUMMYFUNCTION("""COMPUTED_VALUE"""),"UFOP")</f>
        <v>UFOP</v>
      </c>
      <c r="E119" s="25">
        <f>IFERROR(__xludf.DUMMYFUNCTION("""COMPUTED_VALUE"""),2012.0)</f>
        <v>2012</v>
      </c>
      <c r="F119" s="24" t="str">
        <f>IFERROR(__xludf.DUMMYFUNCTION("""COMPUTED_VALUE"""),"Dança; Fisiologia; Corpo humano; Exercícios físicos")</f>
        <v>Dança; Fisiologia; Corpo humano; Exercícios físicos</v>
      </c>
      <c r="G119" s="28" t="str">
        <f>IFERROR(__xludf.DUMMYFUNCTION("""COMPUTED_VALUE"""),"9788528803020")</f>
        <v>9788528803020</v>
      </c>
      <c r="H119" s="29" t="str">
        <f>IFERROR(__xludf.DUMMYFUNCTION("""COMPUTED_VALUE"""),"https://repositorio.ufop.br/bitstream/123456789/4539/6/LIVRO_ProjetoNovosTalentos.pdf")</f>
        <v>https://repositorio.ufop.br/bitstream/123456789/4539/6/LIVRO_ProjetoNovosTalentos.pdf</v>
      </c>
      <c r="I119" s="24" t="str">
        <f>IFERROR(__xludf.DUMMYFUNCTION("""COMPUTED_VALUE"""),"Lingüística Letras e Artes")</f>
        <v>Lingüística Letras e Artes</v>
      </c>
    </row>
    <row r="120">
      <c r="A120" s="24" t="str">
        <f>IFERROR(__xludf.DUMMYFUNCTION("""COMPUTED_VALUE"""),"Corpo e Movimento: danças folclóricas: volume II")</f>
        <v>Corpo e Movimento: danças folclóricas: volume II</v>
      </c>
      <c r="B120" s="24" t="str">
        <f>IFERROR(__xludf.DUMMYFUNCTION("""COMPUTED_VALUE"""),"Maria Cristina Rosa; Juliana Castro Bergamini")</f>
        <v>Maria Cristina Rosa; Juliana Castro Bergamini</v>
      </c>
      <c r="C120" s="24" t="str">
        <f>IFERROR(__xludf.DUMMYFUNCTION("""COMPUTED_VALUE"""),"Ouro Preto")</f>
        <v>Ouro Preto</v>
      </c>
      <c r="D120" s="24" t="str">
        <f>IFERROR(__xludf.DUMMYFUNCTION("""COMPUTED_VALUE"""),"UFOP")</f>
        <v>UFOP</v>
      </c>
      <c r="E120" s="25">
        <f>IFERROR(__xludf.DUMMYFUNCTION("""COMPUTED_VALUE"""),2012.0)</f>
        <v>2012</v>
      </c>
      <c r="F120" s="24" t="str">
        <f>IFERROR(__xludf.DUMMYFUNCTION("""COMPUTED_VALUE"""),"Folclore; Resgate; História; Dança")</f>
        <v>Folclore; Resgate; História; Dança</v>
      </c>
      <c r="G120" s="28" t="str">
        <f>IFERROR(__xludf.DUMMYFUNCTION("""COMPUTED_VALUE"""),"9788528803013")</f>
        <v>9788528803013</v>
      </c>
      <c r="H120" s="29" t="str">
        <f>IFERROR(__xludf.DUMMYFUNCTION("""COMPUTED_VALUE"""),"https://www.editora.ufop.br/index.php/editora/catalog/book/23")</f>
        <v>https://www.editora.ufop.br/index.php/editora/catalog/book/23</v>
      </c>
      <c r="I120" s="24" t="str">
        <f>IFERROR(__xludf.DUMMYFUNCTION("""COMPUTED_VALUE"""),"Lingüística Letras e Artes")</f>
        <v>Lingüística Letras e Artes</v>
      </c>
    </row>
    <row r="121">
      <c r="A121" s="24" t="str">
        <f>IFERROR(__xludf.DUMMYFUNCTION("""COMPUTED_VALUE"""),"Corpo e performances: As You Like It de Shakespeare no século XX")</f>
        <v>Corpo e performances: As You Like It de Shakespeare no século XX</v>
      </c>
      <c r="B121" s="24" t="str">
        <f>IFERROR(__xludf.DUMMYFUNCTION("""COMPUTED_VALUE"""),"Baumgärtel, Stephan Arnulf")</f>
        <v>Baumgärtel, Stephan Arnulf</v>
      </c>
      <c r="C121" s="24" t="str">
        <f>IFERROR(__xludf.DUMMYFUNCTION("""COMPUTED_VALUE"""),"Florianópolis")</f>
        <v>Florianópolis</v>
      </c>
      <c r="D121" s="24" t="str">
        <f>IFERROR(__xludf.DUMMYFUNCTION("""COMPUTED_VALUE"""),"Editora da UFSC")</f>
        <v>Editora da UFSC</v>
      </c>
      <c r="E121" s="25">
        <f>IFERROR(__xludf.DUMMYFUNCTION("""COMPUTED_VALUE"""),2011.0)</f>
        <v>2011</v>
      </c>
      <c r="F121" s="24" t="str">
        <f>IFERROR(__xludf.DUMMYFUNCTION("""COMPUTED_VALUE"""),"Crítica e interpretação;Teatro inglês;História e crítica;Aspectos sociais do teatro;Shakespeare")</f>
        <v>Crítica e interpretação;Teatro inglês;História e crítica;Aspectos sociais do teatro;Shakespeare</v>
      </c>
      <c r="G121" s="28" t="str">
        <f>IFERROR(__xludf.DUMMYFUNCTION("""COMPUTED_VALUE"""),"9788532805317")</f>
        <v>9788532805317</v>
      </c>
      <c r="H121" s="29" t="str">
        <f>IFERROR(__xludf.DUMMYFUNCTION("""COMPUTED_VALUE"""),"https://repositorio.ufsc.br/handle/123456789/187698")</f>
        <v>https://repositorio.ufsc.br/handle/123456789/187698</v>
      </c>
      <c r="I121" s="24" t="str">
        <f>IFERROR(__xludf.DUMMYFUNCTION("""COMPUTED_VALUE"""),"Lingüística Letras e Artes")</f>
        <v>Lingüística Letras e Artes</v>
      </c>
    </row>
    <row r="122">
      <c r="A122" s="24" t="str">
        <f>IFERROR(__xludf.DUMMYFUNCTION("""COMPUTED_VALUE"""),"Corpo fora do lugar: movimento, fluxo e desordem entre treinamento psicofísico e construção cênica")</f>
        <v>Corpo fora do lugar: movimento, fluxo e desordem entre treinamento psicofísico e construção cênica</v>
      </c>
      <c r="B122" s="24" t="str">
        <f>IFERROR(__xludf.DUMMYFUNCTION("""COMPUTED_VALUE"""),"Leonel Henckes")</f>
        <v>Leonel Henckes</v>
      </c>
      <c r="C122" s="24" t="str">
        <f>IFERROR(__xludf.DUMMYFUNCTION("""COMPUTED_VALUE"""),"Salvador")</f>
        <v>Salvador</v>
      </c>
      <c r="D122" s="24" t="str">
        <f>IFERROR(__xludf.DUMMYFUNCTION("""COMPUTED_VALUE"""),"EDUFBA")</f>
        <v>EDUFBA</v>
      </c>
      <c r="E122" s="25">
        <f>IFERROR(__xludf.DUMMYFUNCTION("""COMPUTED_VALUE"""),2015.0)</f>
        <v>2015</v>
      </c>
      <c r="F122" s="24" t="str">
        <f>IFERROR(__xludf.DUMMYFUNCTION("""COMPUTED_VALUE"""),"Artes cênicas; Corpo; Movimento; Psicofísica; Dança")</f>
        <v>Artes cênicas; Corpo; Movimento; Psicofísica; Dança</v>
      </c>
      <c r="G122" s="28" t="str">
        <f>IFERROR(__xludf.DUMMYFUNCTION("""COMPUTED_VALUE"""),"9788523213930")</f>
        <v>9788523213930</v>
      </c>
      <c r="H122" s="29" t="str">
        <f>IFERROR(__xludf.DUMMYFUNCTION("""COMPUTED_VALUE"""),"http://repositorio.ufba.br/ri/handle/ri/18031")</f>
        <v>http://repositorio.ufba.br/ri/handle/ri/18031</v>
      </c>
      <c r="I122" s="24" t="str">
        <f>IFERROR(__xludf.DUMMYFUNCTION("""COMPUTED_VALUE"""),"Lingüística Letras e Artes")</f>
        <v>Lingüística Letras e Artes</v>
      </c>
    </row>
    <row r="123">
      <c r="A123" s="24" t="str">
        <f>IFERROR(__xludf.DUMMYFUNCTION("""COMPUTED_VALUE"""),"Corpo, Movimento e Educação")</f>
        <v>Corpo, Movimento e Educação</v>
      </c>
      <c r="B123" s="24" t="str">
        <f>IFERROR(__xludf.DUMMYFUNCTION("""COMPUTED_VALUE"""),"Maria Cristina Rocha; Juliana Castro Bergamini")</f>
        <v>Maria Cristina Rocha; Juliana Castro Bergamini</v>
      </c>
      <c r="C123" s="24" t="str">
        <f>IFERROR(__xludf.DUMMYFUNCTION("""COMPUTED_VALUE"""),"Ouro Preto")</f>
        <v>Ouro Preto</v>
      </c>
      <c r="D123" s="24" t="str">
        <f>IFERROR(__xludf.DUMMYFUNCTION("""COMPUTED_VALUE"""),"UFOP")</f>
        <v>UFOP</v>
      </c>
      <c r="E123" s="25">
        <f>IFERROR(__xludf.DUMMYFUNCTION("""COMPUTED_VALUE"""),2013.0)</f>
        <v>2013</v>
      </c>
      <c r="F123" s="24" t="str">
        <f>IFERROR(__xludf.DUMMYFUNCTION("""COMPUTED_VALUE"""),"Folclore; Danças folclóricas")</f>
        <v>Folclore; Danças folclóricas</v>
      </c>
      <c r="G123" s="26"/>
      <c r="H123" s="29" t="str">
        <f>IFERROR(__xludf.DUMMYFUNCTION("""COMPUTED_VALUE"""),"https://www.editora.ufop.br/index.php/editora/catalog/book/22")</f>
        <v>https://www.editora.ufop.br/index.php/editora/catalog/book/22</v>
      </c>
      <c r="I123" s="24" t="str">
        <f>IFERROR(__xludf.DUMMYFUNCTION("""COMPUTED_VALUE"""),"Lingüística Letras e Artes")</f>
        <v>Lingüística Letras e Artes</v>
      </c>
    </row>
    <row r="124">
      <c r="A124" s="24" t="str">
        <f>IFERROR(__xludf.DUMMYFUNCTION("""COMPUTED_VALUE"""),"Corpolítico: Corpo e Política nas Artes da Presença")</f>
        <v>Corpolítico: Corpo e Política nas Artes da Presença</v>
      </c>
      <c r="B124" s="24" t="str">
        <f>IFERROR(__xludf.DUMMYFUNCTION("""COMPUTED_VALUE"""),"Berilo Luigi Deiró Nosella; Eden Silva Peretta")</f>
        <v>Berilo Luigi Deiró Nosella; Eden Silva Peretta</v>
      </c>
      <c r="C124" s="24" t="str">
        <f>IFERROR(__xludf.DUMMYFUNCTION("""COMPUTED_VALUE"""),"Ouro Preto")</f>
        <v>Ouro Preto</v>
      </c>
      <c r="D124" s="24" t="str">
        <f>IFERROR(__xludf.DUMMYFUNCTION("""COMPUTED_VALUE"""),"UFOP")</f>
        <v>UFOP</v>
      </c>
      <c r="E124" s="25">
        <f>IFERROR(__xludf.DUMMYFUNCTION("""COMPUTED_VALUE"""),2018.0)</f>
        <v>2018</v>
      </c>
      <c r="F124" s="24" t="str">
        <f>IFERROR(__xludf.DUMMYFUNCTION("""COMPUTED_VALUE"""),"Teatro. Performance (Arte). Corpo como suporte da arte. Política")</f>
        <v>Teatro. Performance (Arte). Corpo como suporte da arte. Política</v>
      </c>
      <c r="G124" s="28" t="str">
        <f>IFERROR(__xludf.DUMMYFUNCTION("""COMPUTED_VALUE"""),"9788528803594")</f>
        <v>9788528803594</v>
      </c>
      <c r="H124" s="29" t="str">
        <f>IFERROR(__xludf.DUMMYFUNCTION("""COMPUTED_VALUE"""),"https://www.editora.ufop.br/index.php/editora/catalog/view/145/115/378-11 ")</f>
        <v>https://www.editora.ufop.br/index.php/editora/catalog/view/145/115/378-11 </v>
      </c>
      <c r="I124" s="24" t="str">
        <f>IFERROR(__xludf.DUMMYFUNCTION("""COMPUTED_VALUE"""),"Lingüística Letras e Artes")</f>
        <v>Lingüística Letras e Artes</v>
      </c>
    </row>
    <row r="125">
      <c r="A125" s="24" t="str">
        <f>IFERROR(__xludf.DUMMYFUNCTION("""COMPUTED_VALUE"""),"Corpos diversos: imagens do corpo nas artes, na literatura e no arquivo")</f>
        <v>Corpos diversos: imagens do corpo nas artes, na literatura e no arquivo</v>
      </c>
      <c r="B125" s="24" t="str">
        <f>IFERROR(__xludf.DUMMYFUNCTION("""COMPUTED_VALUE"""),"Ana Chiara, Marcelo Santos, Eliane Vasconcellos (Orgs.)")</f>
        <v>Ana Chiara, Marcelo Santos, Eliane Vasconcellos (Orgs.)</v>
      </c>
      <c r="C125" s="24" t="str">
        <f>IFERROR(__xludf.DUMMYFUNCTION("""COMPUTED_VALUE"""),"Rio de Janeiro")</f>
        <v>Rio de Janeiro</v>
      </c>
      <c r="D125" s="24" t="str">
        <f>IFERROR(__xludf.DUMMYFUNCTION("""COMPUTED_VALUE"""),"EdUERJ")</f>
        <v>EdUERJ</v>
      </c>
      <c r="E125" s="25">
        <f>IFERROR(__xludf.DUMMYFUNCTION("""COMPUTED_VALUE"""),2015.0)</f>
        <v>2015</v>
      </c>
      <c r="F125" s="24" t="str">
        <f>IFERROR(__xludf.DUMMYFUNCTION("""COMPUTED_VALUE"""),"Arte; Corpo humano; Aspectos Sociais")</f>
        <v>Arte; Corpo humano; Aspectos Sociais</v>
      </c>
      <c r="G125" s="28" t="str">
        <f>IFERROR(__xludf.DUMMYFUNCTION("""COMPUTED_VALUE"""),"9788575113721")</f>
        <v>9788575113721</v>
      </c>
      <c r="H125" s="29" t="str">
        <f>IFERROR(__xludf.DUMMYFUNCTION("""COMPUTED_VALUE"""),"https://www.eduerj.com/eng/?product=corpos-diversos-imagens-do-corpo-nas-artes-na-literatura-e-no-arquivo-ebook")</f>
        <v>https://www.eduerj.com/eng/?product=corpos-diversos-imagens-do-corpo-nas-artes-na-literatura-e-no-arquivo-ebook</v>
      </c>
      <c r="I125" s="24" t="str">
        <f>IFERROR(__xludf.DUMMYFUNCTION("""COMPUTED_VALUE"""),"Lingüística Letras e Artes")</f>
        <v>Lingüística Letras e Artes</v>
      </c>
    </row>
    <row r="126">
      <c r="A126" s="24" t="str">
        <f>IFERROR(__xludf.DUMMYFUNCTION("""COMPUTED_VALUE"""),"Cortejo &amp; outras begônias (III Prêmio UFES de Literatura)")</f>
        <v>Cortejo &amp; outras begônias (III Prêmio UFES de Literatura)</v>
      </c>
      <c r="B126" s="24" t="str">
        <f>IFERROR(__xludf.DUMMYFUNCTION("""COMPUTED_VALUE"""),"Airton Souza de Oliveira")</f>
        <v>Airton Souza de Oliveira</v>
      </c>
      <c r="C126" s="24" t="str">
        <f>IFERROR(__xludf.DUMMYFUNCTION("""COMPUTED_VALUE"""),"Vitória")</f>
        <v>Vitória</v>
      </c>
      <c r="D126" s="24" t="str">
        <f>IFERROR(__xludf.DUMMYFUNCTION("""COMPUTED_VALUE"""),"EDUFES")</f>
        <v>EDUFES</v>
      </c>
      <c r="E126" s="25">
        <f>IFERROR(__xludf.DUMMYFUNCTION("""COMPUTED_VALUE"""),2016.0)</f>
        <v>2016</v>
      </c>
      <c r="F126" s="24" t="str">
        <f>IFERROR(__xludf.DUMMYFUNCTION("""COMPUTED_VALUE"""),"Poesia; Poemas; Literatura")</f>
        <v>Poesia; Poemas; Literatura</v>
      </c>
      <c r="G126" s="28" t="str">
        <f>IFERROR(__xludf.DUMMYFUNCTION("""COMPUTED_VALUE"""),"9788577723515")</f>
        <v>9788577723515</v>
      </c>
      <c r="H126" s="29" t="str">
        <f>IFERROR(__xludf.DUMMYFUNCTION("""COMPUTED_VALUE"""),"http://repositorio.ufes.br/handle/10/6778")</f>
        <v>http://repositorio.ufes.br/handle/10/6778</v>
      </c>
      <c r="I126" s="24" t="str">
        <f>IFERROR(__xludf.DUMMYFUNCTION("""COMPUTED_VALUE"""),"Lingüística Letras e Artes")</f>
        <v>Lingüística Letras e Artes</v>
      </c>
    </row>
    <row r="127">
      <c r="A127" s="24" t="str">
        <f>IFERROR(__xludf.DUMMYFUNCTION("""COMPUTED_VALUE"""),"Criação, ensino e produção de conhecimento em artes: artes visuais, cinema, dança e teatro")</f>
        <v>Criação, ensino e produção de conhecimento em artes: artes visuais, cinema, dança e teatro</v>
      </c>
      <c r="B127" s="24" t="str">
        <f>IFERROR(__xludf.DUMMYFUNCTION("""COMPUTED_VALUE"""),"Marila Annibelli Vellozo; Solange Straube Stecz (org.)")</f>
        <v>Marila Annibelli Vellozo; Solange Straube Stecz (org.)</v>
      </c>
      <c r="C127" s="24" t="str">
        <f>IFERROR(__xludf.DUMMYFUNCTION("""COMPUTED_VALUE"""),"Campo Mourão, PR")</f>
        <v>Campo Mourão, PR</v>
      </c>
      <c r="D127" s="24" t="str">
        <f>IFERROR(__xludf.DUMMYFUNCTION("""COMPUTED_VALUE"""),"Editora Fecilcam")</f>
        <v>Editora Fecilcam</v>
      </c>
      <c r="E127" s="25">
        <f>IFERROR(__xludf.DUMMYFUNCTION("""COMPUTED_VALUE"""),2016.0)</f>
        <v>2016</v>
      </c>
      <c r="F127" s="24" t="str">
        <f>IFERROR(__xludf.DUMMYFUNCTION("""COMPUTED_VALUE"""),"Pedagogia artística. Arte - Estudo e ensino")</f>
        <v>Pedagogia artística. Arte - Estudo e ensino</v>
      </c>
      <c r="G127" s="28" t="str">
        <f>IFERROR(__xludf.DUMMYFUNCTION("""COMPUTED_VALUE"""),"9788588753402")</f>
        <v>9788588753402</v>
      </c>
      <c r="H127" s="29" t="str">
        <f>IFERROR(__xludf.DUMMYFUNCTION("""COMPUTED_VALUE"""),"http://campomourao.unespar.edu.br/editora/obras-digitais/criacao-ensino-e-producao-de-conhecimento-em-artes-artes-visuais-cinema-danca-e-teatro")</f>
        <v>http://campomourao.unespar.edu.br/editora/obras-digitais/criacao-ensino-e-producao-de-conhecimento-em-artes-artes-visuais-cinema-danca-e-teatro</v>
      </c>
      <c r="I127" s="24" t="str">
        <f>IFERROR(__xludf.DUMMYFUNCTION("""COMPUTED_VALUE"""),"Lingüística Letras e Artes")</f>
        <v>Lingüística Letras e Artes</v>
      </c>
    </row>
    <row r="128">
      <c r="A128" s="24" t="str">
        <f>IFERROR(__xludf.DUMMYFUNCTION("""COMPUTED_VALUE"""),"Crise de imagem: uma análise de caso")</f>
        <v>Crise de imagem: uma análise de caso</v>
      </c>
      <c r="B128" s="24" t="str">
        <f>IFERROR(__xludf.DUMMYFUNCTION("""COMPUTED_VALUE"""),"Hemília Maia")</f>
        <v>Hemília Maia</v>
      </c>
      <c r="C128" s="24" t="str">
        <f>IFERROR(__xludf.DUMMYFUNCTION("""COMPUTED_VALUE"""),"Cáceres")</f>
        <v>Cáceres</v>
      </c>
      <c r="D128" s="24" t="str">
        <f>IFERROR(__xludf.DUMMYFUNCTION("""COMPUTED_VALUE"""),"UNEMAT")</f>
        <v>UNEMAT</v>
      </c>
      <c r="E128" s="25">
        <f>IFERROR(__xludf.DUMMYFUNCTION("""COMPUTED_VALUE"""),2016.0)</f>
        <v>2016</v>
      </c>
      <c r="F128" s="24" t="str">
        <f>IFERROR(__xludf.DUMMYFUNCTION("""COMPUTED_VALUE"""),"Imagem - Crise - Gestão; Comunicação Organizacional; Administração Empresarial")</f>
        <v>Imagem - Crise - Gestão; Comunicação Organizacional; Administração Empresarial</v>
      </c>
      <c r="G128" s="28" t="str">
        <f>IFERROR(__xludf.DUMMYFUNCTION("""COMPUTED_VALUE"""),"9788579111600")</f>
        <v>9788579111600</v>
      </c>
      <c r="H128" s="29" t="str">
        <f>IFERROR(__xludf.DUMMYFUNCTION("""COMPUTED_VALUE"""),"http://www.unemat.br/reitoria/editora/downloads/eletronico/crise_de_imagem_hemilia_maia_e_book.pdf")</f>
        <v>http://www.unemat.br/reitoria/editora/downloads/eletronico/crise_de_imagem_hemilia_maia_e_book.pdf</v>
      </c>
      <c r="I128" s="24" t="str">
        <f>IFERROR(__xludf.DUMMYFUNCTION("""COMPUTED_VALUE"""),"Lingüística Letras e Artes")</f>
        <v>Lingüística Letras e Artes</v>
      </c>
    </row>
    <row r="129">
      <c r="A129" s="24" t="str">
        <f>IFERROR(__xludf.DUMMYFUNCTION("""COMPUTED_VALUE"""),"Crítica Literária como defesa dos direitos humanos: questão teórica (Por uma Sócio-História Literária das Américas e do Caribe Hispanoparlantes)")</f>
        <v>Crítica Literária como defesa dos direitos humanos: questão teórica (Por uma Sócio-História Literária das Américas e do Caribe Hispanoparlantes)</v>
      </c>
      <c r="B129" s="24" t="str">
        <f>IFERROR(__xludf.DUMMYFUNCTION("""COMPUTED_VALUE"""),"Wander Nunes Frota (tradutor)")</f>
        <v>Wander Nunes Frota (tradutor)</v>
      </c>
      <c r="C129" s="24" t="str">
        <f>IFERROR(__xludf.DUMMYFUNCTION("""COMPUTED_VALUE"""),"Teresina")</f>
        <v>Teresina</v>
      </c>
      <c r="D129" s="24" t="str">
        <f>IFERROR(__xludf.DUMMYFUNCTION("""COMPUTED_VALUE"""),"EDUFPI")</f>
        <v>EDUFPI</v>
      </c>
      <c r="E129" s="25">
        <f>IFERROR(__xludf.DUMMYFUNCTION("""COMPUTED_VALUE"""),2020.0)</f>
        <v>2020</v>
      </c>
      <c r="F129" s="24" t="str">
        <f>IFERROR(__xludf.DUMMYFUNCTION("""COMPUTED_VALUE"""),"Historiografia; Crítica literária; Literatura hispânica; Direitos humanos")</f>
        <v>Historiografia; Crítica literária; Literatura hispânica; Direitos humanos</v>
      </c>
      <c r="G129" s="28" t="str">
        <f>IFERROR(__xludf.DUMMYFUNCTION("""COMPUTED_VALUE"""),"9786586171051")</f>
        <v>9786586171051</v>
      </c>
      <c r="H129" s="29" t="str">
        <f>IFERROR(__xludf.DUMMYFUNCTION("""COMPUTED_VALUE"""),"https://www.ufpi.br/arquivos_download/arquivos/LIVRO_PROFESSOR_WANDER_EBOOK_120200312143715.pdf")</f>
        <v>https://www.ufpi.br/arquivos_download/arquivos/LIVRO_PROFESSOR_WANDER_EBOOK_120200312143715.pdf</v>
      </c>
      <c r="I129" s="24" t="str">
        <f>IFERROR(__xludf.DUMMYFUNCTION("""COMPUTED_VALUE"""),"Lingüística Letras e Artes")</f>
        <v>Lingüística Letras e Artes</v>
      </c>
    </row>
    <row r="130">
      <c r="A130" s="24" t="str">
        <f>IFERROR(__xludf.DUMMYFUNCTION("""COMPUTED_VALUE"""),"Crítica literária e estratégias de gênero ")</f>
        <v>Crítica literária e estratégias de gênero </v>
      </c>
      <c r="B130" s="24" t="str">
        <f>IFERROR(__xludf.DUMMYFUNCTION("""COMPUTED_VALUE"""),"Vera Queiroz")</f>
        <v>Vera Queiroz</v>
      </c>
      <c r="C130" s="24" t="str">
        <f>IFERROR(__xludf.DUMMYFUNCTION("""COMPUTED_VALUE"""),"Niterói, RJ")</f>
        <v>Niterói, RJ</v>
      </c>
      <c r="D130" s="24" t="str">
        <f>IFERROR(__xludf.DUMMYFUNCTION("""COMPUTED_VALUE"""),"EdUFF")</f>
        <v>EdUFF</v>
      </c>
      <c r="E130" s="25">
        <f>IFERROR(__xludf.DUMMYFUNCTION("""COMPUTED_VALUE"""),1997.0)</f>
        <v>1997</v>
      </c>
      <c r="F130" s="24" t="str">
        <f>IFERROR(__xludf.DUMMYFUNCTION("""COMPUTED_VALUE"""),"Literatura - História e crítica")</f>
        <v>Literatura - História e crítica</v>
      </c>
      <c r="G130" s="28" t="str">
        <f>IFERROR(__xludf.DUMMYFUNCTION("""COMPUTED_VALUE"""),"8522802025")</f>
        <v>8522802025</v>
      </c>
      <c r="H130" s="29" t="str">
        <f>IFERROR(__xludf.DUMMYFUNCTION("""COMPUTED_VALUE"""),"http://www.eduff.uff.br/ebooks/Critica-literaria-e-estrategia-de-genero.pdf")</f>
        <v>http://www.eduff.uff.br/ebooks/Critica-literaria-e-estrategia-de-genero.pdf</v>
      </c>
      <c r="I130" s="24" t="str">
        <f>IFERROR(__xludf.DUMMYFUNCTION("""COMPUTED_VALUE"""),"Lingüística Letras e Artes")</f>
        <v>Lingüística Letras e Artes</v>
      </c>
    </row>
    <row r="131">
      <c r="A131" s="24" t="str">
        <f>IFERROR(__xludf.DUMMYFUNCTION("""COMPUTED_VALUE"""),"Crônicas")</f>
        <v>Crônicas</v>
      </c>
      <c r="B131" s="24" t="str">
        <f>IFERROR(__xludf.DUMMYFUNCTION("""COMPUTED_VALUE"""),"Chico Maria")</f>
        <v>Chico Maria</v>
      </c>
      <c r="C131" s="24" t="str">
        <f>IFERROR(__xludf.DUMMYFUNCTION("""COMPUTED_VALUE"""),"Campina Grande")</f>
        <v>Campina Grande</v>
      </c>
      <c r="D131" s="24" t="str">
        <f>IFERROR(__xludf.DUMMYFUNCTION("""COMPUTED_VALUE"""),"EDUEPB")</f>
        <v>EDUEPB</v>
      </c>
      <c r="E131" s="25">
        <f>IFERROR(__xludf.DUMMYFUNCTION("""COMPUTED_VALUE"""),2019.0)</f>
        <v>2019</v>
      </c>
      <c r="F131" s="24" t="str">
        <f>IFERROR(__xludf.DUMMYFUNCTION("""COMPUTED_VALUE"""),"Literatura brasileira - Crônicas. Crônicas brasileiras")</f>
        <v>Literatura brasileira - Crônicas. Crônicas brasileiras</v>
      </c>
      <c r="G131" s="28" t="str">
        <f>IFERROR(__xludf.DUMMYFUNCTION("""COMPUTED_VALUE"""),"9788563984838")</f>
        <v>9788563984838</v>
      </c>
      <c r="H131" s="29" t="str">
        <f>IFERROR(__xludf.DUMMYFUNCTION("""COMPUTED_VALUE"""),"http://eduepb.uepb.edu.br/download/cronicas/?wpdmdl=1161&amp;#038;masterkey=5f622dad00895")</f>
        <v>http://eduepb.uepb.edu.br/download/cronicas/?wpdmdl=1161&amp;#038;masterkey=5f622dad00895</v>
      </c>
      <c r="I131" s="24" t="str">
        <f>IFERROR(__xludf.DUMMYFUNCTION("""COMPUTED_VALUE"""),"Lingüística Letras e Artes")</f>
        <v>Lingüística Letras e Artes</v>
      </c>
    </row>
    <row r="132">
      <c r="A132" s="24" t="str">
        <f>IFERROR(__xludf.DUMMYFUNCTION("""COMPUTED_VALUE"""),"Cruéis paisagens: literatura brasileira e cultura contemporânea ")</f>
        <v>Cruéis paisagens: literatura brasileira e cultura contemporânea </v>
      </c>
      <c r="B132" s="24" t="str">
        <f>IFERROR(__xludf.DUMMYFUNCTION("""COMPUTED_VALUE"""),"Ângela Maria Dias")</f>
        <v>Ângela Maria Dias</v>
      </c>
      <c r="C132" s="24" t="str">
        <f>IFERROR(__xludf.DUMMYFUNCTION("""COMPUTED_VALUE"""),"Niterói, RJ")</f>
        <v>Niterói, RJ</v>
      </c>
      <c r="D132" s="24" t="str">
        <f>IFERROR(__xludf.DUMMYFUNCTION("""COMPUTED_VALUE"""),"EdUFF")</f>
        <v>EdUFF</v>
      </c>
      <c r="E132" s="25">
        <f>IFERROR(__xludf.DUMMYFUNCTION("""COMPUTED_VALUE"""),2007.0)</f>
        <v>2007</v>
      </c>
      <c r="F132" s="24" t="str">
        <f>IFERROR(__xludf.DUMMYFUNCTION("""COMPUTED_VALUE"""),"Literatura; Cultura")</f>
        <v>Literatura; Cultura</v>
      </c>
      <c r="G132" s="28" t="str">
        <f>IFERROR(__xludf.DUMMYFUNCTION("""COMPUTED_VALUE"""),"9788522804481")</f>
        <v>9788522804481</v>
      </c>
      <c r="H132" s="29" t="str">
        <f>IFERROR(__xludf.DUMMYFUNCTION("""COMPUTED_VALUE"""),"http://www.eduff.uff.br/ebooks/Crueis-paisagens.pdf")</f>
        <v>http://www.eduff.uff.br/ebooks/Crueis-paisagens.pdf</v>
      </c>
      <c r="I132" s="24" t="str">
        <f>IFERROR(__xludf.DUMMYFUNCTION("""COMPUTED_VALUE"""),"Lingüística Letras e Artes")</f>
        <v>Lingüística Letras e Artes</v>
      </c>
    </row>
    <row r="133">
      <c r="A133" s="24" t="str">
        <f>IFERROR(__xludf.DUMMYFUNCTION("""COMPUTED_VALUE"""),"Cuida bem de mim: teatro, afeto e violência nas escolas ")</f>
        <v>Cuida bem de mim: teatro, afeto e violência nas escolas </v>
      </c>
      <c r="B133" s="24" t="str">
        <f>IFERROR(__xludf.DUMMYFUNCTION("""COMPUTED_VALUE"""),"Ney Wendell")</f>
        <v>Ney Wendell</v>
      </c>
      <c r="C133" s="24" t="str">
        <f>IFERROR(__xludf.DUMMYFUNCTION("""COMPUTED_VALUE"""),"Ilhéus, BA")</f>
        <v>Ilhéus, BA</v>
      </c>
      <c r="D133" s="24" t="str">
        <f>IFERROR(__xludf.DUMMYFUNCTION("""COMPUTED_VALUE"""),"Editus")</f>
        <v>Editus</v>
      </c>
      <c r="E133" s="25">
        <f>IFERROR(__xludf.DUMMYFUNCTION("""COMPUTED_VALUE"""),2009.0)</f>
        <v>2009</v>
      </c>
      <c r="F133" s="24" t="str">
        <f>IFERROR(__xludf.DUMMYFUNCTION("""COMPUTED_VALUE"""),"Teatro na educação; Teatro e juventude; Violência na escola; Jovens e violência; Afeto")</f>
        <v>Teatro na educação; Teatro e juventude; Violência na escola; Jovens e violência; Afeto</v>
      </c>
      <c r="G133" s="28" t="str">
        <f>IFERROR(__xludf.DUMMYFUNCTION("""COMPUTED_VALUE"""),"9788574551678")</f>
        <v>9788574551678</v>
      </c>
      <c r="H133" s="29" t="str">
        <f>IFERROR(__xludf.DUMMYFUNCTION("""COMPUTED_VALUE"""),"http://www.uesc.br/editora/livrosdigitais_20141023/cauidabemdemim.pdf")</f>
        <v>http://www.uesc.br/editora/livrosdigitais_20141023/cauidabemdemim.pdf</v>
      </c>
      <c r="I133" s="24" t="str">
        <f>IFERROR(__xludf.DUMMYFUNCTION("""COMPUTED_VALUE"""),"Lingüística Letras e Artes")</f>
        <v>Lingüística Letras e Artes</v>
      </c>
    </row>
    <row r="134">
      <c r="A134" s="24" t="str">
        <f>IFERROR(__xludf.DUMMYFUNCTION("""COMPUTED_VALUE"""),"Cultura brasileira hoje: diálogos v. 1")</f>
        <v>Cultura brasileira hoje: diálogos v. 1</v>
      </c>
      <c r="B134" s="24" t="str">
        <f>IFERROR(__xludf.DUMMYFUNCTION("""COMPUTED_VALUE"""),"Organização Flora Süssekind e Tânia Dias")</f>
        <v>Organização Flora Süssekind e Tânia Dias</v>
      </c>
      <c r="C134" s="24" t="str">
        <f>IFERROR(__xludf.DUMMYFUNCTION("""COMPUTED_VALUE"""),"Rio de Janeiro")</f>
        <v>Rio de Janeiro</v>
      </c>
      <c r="D134" s="24" t="str">
        <f>IFERROR(__xludf.DUMMYFUNCTION("""COMPUTED_VALUE"""),"Fundação Casa de Rui Barbosa")</f>
        <v>Fundação Casa de Rui Barbosa</v>
      </c>
      <c r="E134" s="25">
        <f>IFERROR(__xludf.DUMMYFUNCTION("""COMPUTED_VALUE"""),2018.0)</f>
        <v>2018</v>
      </c>
      <c r="F134" s="24" t="str">
        <f>IFERROR(__xludf.DUMMYFUNCTION("""COMPUTED_VALUE"""),"Cultura – Brasil – Séc. XXI")</f>
        <v>Cultura – Brasil – Séc. XXI</v>
      </c>
      <c r="G134" s="28" t="str">
        <f>IFERROR(__xludf.DUMMYFUNCTION("""COMPUTED_VALUE"""),"9788570043887")</f>
        <v>9788570043887</v>
      </c>
      <c r="H134" s="29" t="str">
        <f>IFERROR(__xludf.DUMMYFUNCTION("""COMPUTED_VALUE"""),"http://www.casaruibarbosa.gov.br/arquivos/file/Cultura_Brasileira-1-PDF_V2.pdf")</f>
        <v>http://www.casaruibarbosa.gov.br/arquivos/file/Cultura_Brasileira-1-PDF_V2.pdf</v>
      </c>
      <c r="I134" s="24" t="str">
        <f>IFERROR(__xludf.DUMMYFUNCTION("""COMPUTED_VALUE"""),"Lingüística Letras e Artes")</f>
        <v>Lingüística Letras e Artes</v>
      </c>
    </row>
    <row r="135">
      <c r="A135" s="24" t="str">
        <f>IFERROR(__xludf.DUMMYFUNCTION("""COMPUTED_VALUE"""),"Cultura brasileira hoje: diálogos v. 2")</f>
        <v>Cultura brasileira hoje: diálogos v. 2</v>
      </c>
      <c r="B135" s="24" t="str">
        <f>IFERROR(__xludf.DUMMYFUNCTION("""COMPUTED_VALUE"""),"Organização Flora Süssekind e Tânia Dias; ")</f>
        <v>Organização Flora Süssekind e Tânia Dias; </v>
      </c>
      <c r="C135" s="24" t="str">
        <f>IFERROR(__xludf.DUMMYFUNCTION("""COMPUTED_VALUE"""),"Rio de Janeiro")</f>
        <v>Rio de Janeiro</v>
      </c>
      <c r="D135" s="24" t="str">
        <f>IFERROR(__xludf.DUMMYFUNCTION("""COMPUTED_VALUE"""),"Fundação Casa de Rui Barbosa")</f>
        <v>Fundação Casa de Rui Barbosa</v>
      </c>
      <c r="E135" s="25">
        <f>IFERROR(__xludf.DUMMYFUNCTION("""COMPUTED_VALUE"""),2018.0)</f>
        <v>2018</v>
      </c>
      <c r="F135" s="24" t="str">
        <f>IFERROR(__xludf.DUMMYFUNCTION("""COMPUTED_VALUE"""),"Cultura – Brasil – Séc. XXI")</f>
        <v>Cultura – Brasil – Séc. XXI</v>
      </c>
      <c r="G135" s="28" t="str">
        <f>IFERROR(__xludf.DUMMYFUNCTION("""COMPUTED_VALUE"""),"9788570043894")</f>
        <v>9788570043894</v>
      </c>
      <c r="H135" s="29" t="str">
        <f>IFERROR(__xludf.DUMMYFUNCTION("""COMPUTED_VALUE"""),"http://www.casaruibarbosa.gov.br/arquivos/file/Cultura_Brasileira-2-PDF_v2.pdf")</f>
        <v>http://www.casaruibarbosa.gov.br/arquivos/file/Cultura_Brasileira-2-PDF_v2.pdf</v>
      </c>
      <c r="I135" s="24" t="str">
        <f>IFERROR(__xludf.DUMMYFUNCTION("""COMPUTED_VALUE"""),"Lingüística Letras e Artes")</f>
        <v>Lingüística Letras e Artes</v>
      </c>
    </row>
    <row r="136">
      <c r="A136" s="24" t="str">
        <f>IFERROR(__xludf.DUMMYFUNCTION("""COMPUTED_VALUE"""),"Cultura brasileira hoje: diálogos v. 3")</f>
        <v>Cultura brasileira hoje: diálogos v. 3</v>
      </c>
      <c r="B136" s="24" t="str">
        <f>IFERROR(__xludf.DUMMYFUNCTION("""COMPUTED_VALUE"""),"Organização Flora Süssekind e Tânia Dias; ")</f>
        <v>Organização Flora Süssekind e Tânia Dias; </v>
      </c>
      <c r="C136" s="24" t="str">
        <f>IFERROR(__xludf.DUMMYFUNCTION("""COMPUTED_VALUE"""),"Rio de Janeiro")</f>
        <v>Rio de Janeiro</v>
      </c>
      <c r="D136" s="24" t="str">
        <f>IFERROR(__xludf.DUMMYFUNCTION("""COMPUTED_VALUE"""),"Fundação Casa de Rui Barbosa")</f>
        <v>Fundação Casa de Rui Barbosa</v>
      </c>
      <c r="E136" s="25">
        <f>IFERROR(__xludf.DUMMYFUNCTION("""COMPUTED_VALUE"""),2018.0)</f>
        <v>2018</v>
      </c>
      <c r="F136" s="24" t="str">
        <f>IFERROR(__xludf.DUMMYFUNCTION("""COMPUTED_VALUE"""),"Cultura – Brasil – Séc. XXI")</f>
        <v>Cultura – Brasil – Séc. XXI</v>
      </c>
      <c r="G136" s="28" t="str">
        <f>IFERROR(__xludf.DUMMYFUNCTION("""COMPUTED_VALUE"""),"9788570043900")</f>
        <v>9788570043900</v>
      </c>
      <c r="H136" s="29" t="str">
        <f>IFERROR(__xludf.DUMMYFUNCTION("""COMPUTED_VALUE"""),"http://www.casaruibarbosa.gov.br/arquivos/file/Cultura_Brasileira-3-PDF_v2.pdf")</f>
        <v>http://www.casaruibarbosa.gov.br/arquivos/file/Cultura_Brasileira-3-PDF_v2.pdf</v>
      </c>
      <c r="I136" s="24" t="str">
        <f>IFERROR(__xludf.DUMMYFUNCTION("""COMPUTED_VALUE"""),"Lingüística Letras e Artes")</f>
        <v>Lingüística Letras e Artes</v>
      </c>
    </row>
    <row r="137">
      <c r="A137" s="24" t="str">
        <f>IFERROR(__xludf.DUMMYFUNCTION("""COMPUTED_VALUE"""),"Cursos de português como língua estrangeira no Celin-UFPR: práticas docentes e experiências em sala de aula")</f>
        <v>Cursos de português como língua estrangeira no Celin-UFPR: práticas docentes e experiências em sala de aula</v>
      </c>
      <c r="B137" s="24" t="str">
        <f>IFERROR(__xludf.DUMMYFUNCTION("""COMPUTED_VALUE"""),"Ruano, Bruna Pupatto; Santos, Jovania Maria Perin; Saltini, Lygia Maria Leite")</f>
        <v>Ruano, Bruna Pupatto; Santos, Jovania Maria Perin; Saltini, Lygia Maria Leite</v>
      </c>
      <c r="C137" s="24" t="str">
        <f>IFERROR(__xludf.DUMMYFUNCTION("""COMPUTED_VALUE"""),"Curitiba")</f>
        <v>Curitiba</v>
      </c>
      <c r="D137" s="24" t="str">
        <f>IFERROR(__xludf.DUMMYFUNCTION("""COMPUTED_VALUE"""),"UFPR")</f>
        <v>UFPR</v>
      </c>
      <c r="E137" s="25">
        <f>IFERROR(__xludf.DUMMYFUNCTION("""COMPUTED_VALUE"""),2016.0)</f>
        <v>2016</v>
      </c>
      <c r="F137" s="24" t="str">
        <f>IFERROR(__xludf.DUMMYFUNCTION("""COMPUTED_VALUE"""),"Lingua portuguesa - Estudo e ensino - Falantes estrangeiros; Prática de ensino; Universidade Federal do Paraná. Centro de Línguas e Interculturalidade")</f>
        <v>Lingua portuguesa - Estudo e ensino - Falantes estrangeiros; Prática de ensino; Universidade Federal do Paraná. Centro de Línguas e Interculturalidade</v>
      </c>
      <c r="G137" s="28" t="str">
        <f>IFERROR(__xludf.DUMMYFUNCTION("""COMPUTED_VALUE"""),"9788584800674")</f>
        <v>9788584800674</v>
      </c>
      <c r="H137" s="29" t="str">
        <f>IFERROR(__xludf.DUMMYFUNCTION("""COMPUTED_VALUE"""),"https://hdl.handle.net/1884/63930")</f>
        <v>https://hdl.handle.net/1884/63930</v>
      </c>
      <c r="I137" s="24" t="str">
        <f>IFERROR(__xludf.DUMMYFUNCTION("""COMPUTED_VALUE"""),"Lingüística Letras e Artes")</f>
        <v>Lingüística Letras e Artes</v>
      </c>
    </row>
    <row r="138">
      <c r="A138" s="24" t="str">
        <f>IFERROR(__xludf.DUMMYFUNCTION("""COMPUTED_VALUE"""),"Cyro de Mattos: estudos literários ")</f>
        <v>Cyro de Mattos: estudos literários </v>
      </c>
      <c r="B138" s="24" t="str">
        <f>IFERROR(__xludf.DUMMYFUNCTION("""COMPUTED_VALUE"""),"Reheniglei Rehem organizadora")</f>
        <v>Reheniglei Rehem organizadora</v>
      </c>
      <c r="C138" s="24" t="str">
        <f>IFERROR(__xludf.DUMMYFUNCTION("""COMPUTED_VALUE"""),"Ilhéus, BA")</f>
        <v>Ilhéus, BA</v>
      </c>
      <c r="D138" s="24" t="str">
        <f>IFERROR(__xludf.DUMMYFUNCTION("""COMPUTED_VALUE"""),"Editus")</f>
        <v>Editus</v>
      </c>
      <c r="E138" s="25">
        <f>IFERROR(__xludf.DUMMYFUNCTION("""COMPUTED_VALUE"""),2017.0)</f>
        <v>2017</v>
      </c>
      <c r="F138" s="24" t="str">
        <f>IFERROR(__xludf.DUMMYFUNCTION("""COMPUTED_VALUE"""),"Literatura brasileira - História e crítica; Mattos, Cyro de, 1939-")</f>
        <v>Literatura brasileira - História e crítica; Mattos, Cyro de, 1939-</v>
      </c>
      <c r="G138" s="28" t="str">
        <f>IFERROR(__xludf.DUMMYFUNCTION("""COMPUTED_VALUE"""),"9788574554624")</f>
        <v>9788574554624</v>
      </c>
      <c r="H138" s="29" t="str">
        <f>IFERROR(__xludf.DUMMYFUNCTION("""COMPUTED_VALUE"""),"http://www.uesc.br/editora/livrosdigitais2018/cyro_de_mattos.pdf")</f>
        <v>http://www.uesc.br/editora/livrosdigitais2018/cyro_de_mattos.pdf</v>
      </c>
      <c r="I138" s="24" t="str">
        <f>IFERROR(__xludf.DUMMYFUNCTION("""COMPUTED_VALUE"""),"Lingüística Letras e Artes")</f>
        <v>Lingüística Letras e Artes</v>
      </c>
    </row>
    <row r="139">
      <c r="A139" s="24" t="str">
        <f>IFERROR(__xludf.DUMMYFUNCTION("""COMPUTED_VALUE"""),"Da mímesis divina à humana: um breve estudo sobre as noções de pintura e escultura nos diálogos Sofista, Timeu e Leis de Platão")</f>
        <v>Da mímesis divina à humana: um breve estudo sobre as noções de pintura e escultura nos diálogos Sofista, Timeu e Leis de Platão</v>
      </c>
      <c r="B139" s="24" t="str">
        <f>IFERROR(__xludf.DUMMYFUNCTION("""COMPUTED_VALUE"""),"Lethicia Ouro Oliveira")</f>
        <v>Lethicia Ouro Oliveira</v>
      </c>
      <c r="C139" s="24" t="str">
        <f>IFERROR(__xludf.DUMMYFUNCTION("""COMPUTED_VALUE"""),"Rio de Janeiro")</f>
        <v>Rio de Janeiro</v>
      </c>
      <c r="D139" s="24" t="str">
        <f>IFERROR(__xludf.DUMMYFUNCTION("""COMPUTED_VALUE"""),"Editora PUC Rio")</f>
        <v>Editora PUC Rio</v>
      </c>
      <c r="E139" s="25">
        <f>IFERROR(__xludf.DUMMYFUNCTION("""COMPUTED_VALUE"""),2018.0)</f>
        <v>2018</v>
      </c>
      <c r="F139" s="24" t="str">
        <f>IFERROR(__xludf.DUMMYFUNCTION("""COMPUTED_VALUE"""),"Artes plásticas gregas. História da arte")</f>
        <v>Artes plásticas gregas. História da arte</v>
      </c>
      <c r="G139" s="28" t="str">
        <f>IFERROR(__xludf.DUMMYFUNCTION("""COMPUTED_VALUE"""),"9788567477268")</f>
        <v>9788567477268</v>
      </c>
      <c r="H139" s="29" t="str">
        <f>IFERROR(__xludf.DUMMYFUNCTION("""COMPUTED_VALUE"""),"http://www.editora.puc-rio.br/media/Lethicia%20Ouro%20Oliveira%20novo.pdf")</f>
        <v>http://www.editora.puc-rio.br/media/Lethicia%20Ouro%20Oliveira%20novo.pdf</v>
      </c>
      <c r="I139" s="24" t="str">
        <f>IFERROR(__xludf.DUMMYFUNCTION("""COMPUTED_VALUE"""),"Lingüística Letras e Artes")</f>
        <v>Lingüística Letras e Artes</v>
      </c>
    </row>
    <row r="140">
      <c r="A140" s="24" t="str">
        <f>IFERROR(__xludf.DUMMYFUNCTION("""COMPUTED_VALUE"""),"Da sombra à luz: seleção de contos de Elvira Foeppel ")</f>
        <v>Da sombra à luz: seleção de contos de Elvira Foeppel </v>
      </c>
      <c r="B140" s="24" t="str">
        <f>IFERROR(__xludf.DUMMYFUNCTION("""COMPUTED_VALUE"""),"Organização Vanilda Salignac Mazzoni, Alicia Duhá Lose.")</f>
        <v>Organização Vanilda Salignac Mazzoni, Alicia Duhá Lose.</v>
      </c>
      <c r="C140" s="24" t="str">
        <f>IFERROR(__xludf.DUMMYFUNCTION("""COMPUTED_VALUE"""),"Ilhéus, BA")</f>
        <v>Ilhéus, BA</v>
      </c>
      <c r="D140" s="24" t="str">
        <f>IFERROR(__xludf.DUMMYFUNCTION("""COMPUTED_VALUE"""),"Editus")</f>
        <v>Editus</v>
      </c>
      <c r="E140" s="25">
        <f>IFERROR(__xludf.DUMMYFUNCTION("""COMPUTED_VALUE"""),2004.0)</f>
        <v>2004</v>
      </c>
      <c r="F140" s="24" t="str">
        <f>IFERROR(__xludf.DUMMYFUNCTION("""COMPUTED_VALUE"""),"Foeppel, Elvira Schaun, 1923-1998; Contos brasileiros; Literatura brasileira – Coletânea; Literatura brasileira – Crítica e interpretação")</f>
        <v>Foeppel, Elvira Schaun, 1923-1998; Contos brasileiros; Literatura brasileira – Coletânea; Literatura brasileira – Crítica e interpretação</v>
      </c>
      <c r="G140" s="28" t="str">
        <f>IFERROR(__xludf.DUMMYFUNCTION("""COMPUTED_VALUE"""),"8574550892")</f>
        <v>8574550892</v>
      </c>
      <c r="H140" s="29" t="str">
        <f>IFERROR(__xludf.DUMMYFUNCTION("""COMPUTED_VALUE"""),"http://www.uesc.br/editora/livrosdigitais2015/da_sombra_a_luz.pdf")</f>
        <v>http://www.uesc.br/editora/livrosdigitais2015/da_sombra_a_luz.pdf</v>
      </c>
      <c r="I140" s="24" t="str">
        <f>IFERROR(__xludf.DUMMYFUNCTION("""COMPUTED_VALUE"""),"Lingüística Letras e Artes")</f>
        <v>Lingüística Letras e Artes</v>
      </c>
    </row>
    <row r="141">
      <c r="A141" s="24" t="str">
        <f>IFERROR(__xludf.DUMMYFUNCTION("""COMPUTED_VALUE"""),"De volta a Roland Barthes ")</f>
        <v>De volta a Roland Barthes </v>
      </c>
      <c r="B141" s="24" t="str">
        <f>IFERROR(__xludf.DUMMYFUNCTION("""COMPUTED_VALUE"""),"Leyla Perrone-Moisés, Maria Elizabeth Chaves; de Mello (org.)")</f>
        <v>Leyla Perrone-Moisés, Maria Elizabeth Chaves; de Mello (org.)</v>
      </c>
      <c r="C141" s="24" t="str">
        <f>IFERROR(__xludf.DUMMYFUNCTION("""COMPUTED_VALUE"""),"Niterói, RJ")</f>
        <v>Niterói, RJ</v>
      </c>
      <c r="D141" s="24" t="str">
        <f>IFERROR(__xludf.DUMMYFUNCTION("""COMPUTED_VALUE"""),"EdUFF")</f>
        <v>EdUFF</v>
      </c>
      <c r="E141" s="25">
        <f>IFERROR(__xludf.DUMMYFUNCTION("""COMPUTED_VALUE"""),2005.0)</f>
        <v>2005</v>
      </c>
      <c r="F141" s="24" t="str">
        <f>IFERROR(__xludf.DUMMYFUNCTION("""COMPUTED_VALUE"""),"Linguagem; Roland Barthes")</f>
        <v>Linguagem; Roland Barthes</v>
      </c>
      <c r="G141" s="28" t="str">
        <f>IFERROR(__xludf.DUMMYFUNCTION("""COMPUTED_VALUE"""),"8522804052")</f>
        <v>8522804052</v>
      </c>
      <c r="H141" s="29" t="str">
        <f>IFERROR(__xludf.DUMMYFUNCTION("""COMPUTED_VALUE"""),"http://www.eduff.uff.br/ebooks/De-volta-a-Roland-Barthes.pdf")</f>
        <v>http://www.eduff.uff.br/ebooks/De-volta-a-Roland-Barthes.pdf</v>
      </c>
      <c r="I141" s="24" t="str">
        <f>IFERROR(__xludf.DUMMYFUNCTION("""COMPUTED_VALUE"""),"Lingüística Letras e Artes")</f>
        <v>Lingüística Letras e Artes</v>
      </c>
    </row>
    <row r="142">
      <c r="A142" s="24" t="str">
        <f>IFERROR(__xludf.DUMMYFUNCTION("""COMPUTED_VALUE"""),"Desconversa")</f>
        <v>Desconversa</v>
      </c>
      <c r="B142" s="24" t="str">
        <f>IFERROR(__xludf.DUMMYFUNCTION("""COMPUTED_VALUE"""),"Walnice Nogueira Galvão")</f>
        <v>Walnice Nogueira Galvão</v>
      </c>
      <c r="C142" s="24" t="str">
        <f>IFERROR(__xludf.DUMMYFUNCTION("""COMPUTED_VALUE"""),"Rio de Janeiro")</f>
        <v>Rio de Janeiro</v>
      </c>
      <c r="D142" s="24" t="str">
        <f>IFERROR(__xludf.DUMMYFUNCTION("""COMPUTED_VALUE"""),"Editora UFRJ")</f>
        <v>Editora UFRJ</v>
      </c>
      <c r="E142" s="25">
        <f>IFERROR(__xludf.DUMMYFUNCTION("""COMPUTED_VALUE"""),1998.0)</f>
        <v>1998</v>
      </c>
      <c r="F142" s="24" t="str">
        <f>IFERROR(__xludf.DUMMYFUNCTION("""COMPUTED_VALUE"""),"Crítica literária; Teoria Literária; Ensaios Críticos")</f>
        <v>Crítica literária; Teoria Literária; Ensaios Críticos</v>
      </c>
      <c r="G142" s="28" t="str">
        <f>IFERROR(__xludf.DUMMYFUNCTION("""COMPUTED_VALUE"""),"8571081948")</f>
        <v>8571081948</v>
      </c>
      <c r="H142" s="29" t="str">
        <f>IFERROR(__xludf.DUMMYFUNCTION("""COMPUTED_VALUE"""),"http://www.editora.ufrj.br/DynamicItems/livrosabertos-1/Livro_Desconversa.pdf")</f>
        <v>http://www.editora.ufrj.br/DynamicItems/livrosabertos-1/Livro_Desconversa.pdf</v>
      </c>
      <c r="I142" s="24" t="str">
        <f>IFERROR(__xludf.DUMMYFUNCTION("""COMPUTED_VALUE"""),"Lingüística Letras e Artes")</f>
        <v>Lingüística Letras e Artes</v>
      </c>
    </row>
    <row r="143">
      <c r="A143" s="24" t="str">
        <f>IFERROR(__xludf.DUMMYFUNCTION("""COMPUTED_VALUE"""),"Desculpem-nos (?), mas estamos em reforma")</f>
        <v>Desculpem-nos (?), mas estamos em reforma</v>
      </c>
      <c r="B143" s="24" t="str">
        <f>IFERROR(__xludf.DUMMYFUNCTION("""COMPUTED_VALUE"""),"Andréa Antonialli (org.)")</f>
        <v>Andréa Antonialli (org.)</v>
      </c>
      <c r="C143" s="24" t="str">
        <f>IFERROR(__xludf.DUMMYFUNCTION("""COMPUTED_VALUE"""),"São Bernardo do Campo, SP")</f>
        <v>São Bernardo do Campo, SP</v>
      </c>
      <c r="D143" s="24" t="str">
        <f>IFERROR(__xludf.DUMMYFUNCTION("""COMPUTED_VALUE"""),"UMESP")</f>
        <v>UMESP</v>
      </c>
      <c r="E143" s="25">
        <f>IFERROR(__xludf.DUMMYFUNCTION("""COMPUTED_VALUE"""),2017.0)</f>
        <v>2017</v>
      </c>
      <c r="F143" s="24" t="str">
        <f>IFERROR(__xludf.DUMMYFUNCTION("""COMPUTED_VALUE"""),"Literatura infantojuvenil. Literatura infantojuvenil. Poesia")</f>
        <v>Literatura infantojuvenil. Literatura infantojuvenil. Poesia</v>
      </c>
      <c r="G143" s="28" t="str">
        <f>IFERROR(__xludf.DUMMYFUNCTION("""COMPUTED_VALUE"""),"9788578143695")</f>
        <v>9788578143695</v>
      </c>
      <c r="H143" s="29" t="str">
        <f>IFERROR(__xludf.DUMMYFUNCTION("""COMPUTED_VALUE"""),"http://editora.metodista.br/livros-gratis/Desculpem-nos%20-%20mas%20estamos%20em%20reforma....pdf/at_download/file")</f>
        <v>http://editora.metodista.br/livros-gratis/Desculpem-nos%20-%20mas%20estamos%20em%20reforma....pdf/at_download/file</v>
      </c>
      <c r="I143" s="24" t="str">
        <f>IFERROR(__xludf.DUMMYFUNCTION("""COMPUTED_VALUE"""),"Lingüística Letras e Artes")</f>
        <v>Lingüística Letras e Artes</v>
      </c>
    </row>
    <row r="144">
      <c r="A144" s="24" t="str">
        <f>IFERROR(__xludf.DUMMYFUNCTION("""COMPUTED_VALUE"""),"Desdobramentos do corpo no século XXI")</f>
        <v>Desdobramentos do corpo no século XXI</v>
      </c>
      <c r="B144" s="24" t="str">
        <f>IFERROR(__xludf.DUMMYFUNCTION("""COMPUTED_VALUE"""),"Maria Conceição Monteiro e Guillermo Giucci (Orgs.)")</f>
        <v>Maria Conceição Monteiro e Guillermo Giucci (Orgs.)</v>
      </c>
      <c r="C144" s="24" t="str">
        <f>IFERROR(__xludf.DUMMYFUNCTION("""COMPUTED_VALUE"""),"Rio de Janeiro")</f>
        <v>Rio de Janeiro</v>
      </c>
      <c r="D144" s="24" t="str">
        <f>IFERROR(__xludf.DUMMYFUNCTION("""COMPUTED_VALUE"""),"Editora Caetés")</f>
        <v>Editora Caetés</v>
      </c>
      <c r="E144" s="25">
        <f>IFERROR(__xludf.DUMMYFUNCTION("""COMPUTED_VALUE"""),2016.0)</f>
        <v>2016</v>
      </c>
      <c r="F144" s="24" t="str">
        <f>IFERROR(__xludf.DUMMYFUNCTION("""COMPUTED_VALUE"""),"Filosofia; Humanismo; Corpo; Cultura contemporânea")</f>
        <v>Filosofia; Humanismo; Corpo; Cultura contemporânea</v>
      </c>
      <c r="G144" s="28" t="str">
        <f>IFERROR(__xludf.DUMMYFUNCTION("""COMPUTED_VALUE"""),"9788586478932")</f>
        <v>9788586478932</v>
      </c>
      <c r="H144" s="29" t="str">
        <f>IFERROR(__xludf.DUMMYFUNCTION("""COMPUTED_VALUE"""),"https://www.eduerj.com/eng/?product=desdobramentos-do-corpo-no-seculo-xxi")</f>
        <v>https://www.eduerj.com/eng/?product=desdobramentos-do-corpo-no-seculo-xxi</v>
      </c>
      <c r="I144" s="24" t="str">
        <f>IFERROR(__xludf.DUMMYFUNCTION("""COMPUTED_VALUE"""),"Lingüística Letras e Artes")</f>
        <v>Lingüística Letras e Artes</v>
      </c>
    </row>
    <row r="145">
      <c r="A145" s="24" t="str">
        <f>IFERROR(__xludf.DUMMYFUNCTION("""COMPUTED_VALUE"""),"Desenvolvendo a competência comunicativa em gêneros da escrita acadêmica")</f>
        <v>Desenvolvendo a competência comunicativa em gêneros da escrita acadêmica</v>
      </c>
      <c r="B145" s="24" t="str">
        <f>IFERROR(__xludf.DUMMYFUNCTION("""COMPUTED_VALUE"""),"Sebastião Votre, Vinícius C. Pereira, José C. Gonçalves")</f>
        <v>Sebastião Votre, Vinícius C. Pereira, José C. Gonçalves</v>
      </c>
      <c r="C145" s="24" t="str">
        <f>IFERROR(__xludf.DUMMYFUNCTION("""COMPUTED_VALUE"""),"Niterói, RJ")</f>
        <v>Niterói, RJ</v>
      </c>
      <c r="D145" s="24" t="str">
        <f>IFERROR(__xludf.DUMMYFUNCTION("""COMPUTED_VALUE"""),"EDUFF")</f>
        <v>EDUFF</v>
      </c>
      <c r="E145" s="25">
        <f>IFERROR(__xludf.DUMMYFUNCTION("""COMPUTED_VALUE"""),2009.0)</f>
        <v>2009</v>
      </c>
      <c r="F145" s="24" t="str">
        <f>IFERROR(__xludf.DUMMYFUNCTION("""COMPUTED_VALUE"""),"Manuais; Aprendizagem; Redação")</f>
        <v>Manuais; Aprendizagem; Redação</v>
      </c>
      <c r="G145" s="28" t="str">
        <f>IFERROR(__xludf.DUMMYFUNCTION("""COMPUTED_VALUE"""),"9788522805310")</f>
        <v>9788522805310</v>
      </c>
      <c r="H145" s="29" t="str">
        <f>IFERROR(__xludf.DUMMYFUNCTION("""COMPUTED_VALUE"""),"http://www.eduff.uff.br/ebooks/Desenvolvendo-a-competencia-comunicativa.pdf")</f>
        <v>http://www.eduff.uff.br/ebooks/Desenvolvendo-a-competencia-comunicativa.pdf</v>
      </c>
      <c r="I145" s="24" t="str">
        <f>IFERROR(__xludf.DUMMYFUNCTION("""COMPUTED_VALUE"""),"Lingüística Letras e Artes")</f>
        <v>Lingüística Letras e Artes</v>
      </c>
    </row>
    <row r="146">
      <c r="A146" s="24" t="str">
        <f>IFERROR(__xludf.DUMMYFUNCTION("""COMPUTED_VALUE"""),"Desenvolvimento de projetos audiovisuais: pela Metodologia DPA")</f>
        <v>Desenvolvimento de projetos audiovisuais: pela Metodologia DPA</v>
      </c>
      <c r="B146" s="24" t="str">
        <f>IFERROR(__xludf.DUMMYFUNCTION("""COMPUTED_VALUE"""),"Pablo Del Teso")</f>
        <v>Pablo Del Teso</v>
      </c>
      <c r="C146" s="24" t="str">
        <f>IFERROR(__xludf.DUMMYFUNCTION("""COMPUTED_VALUE"""),"Ilhéus, BA")</f>
        <v>Ilhéus, BA</v>
      </c>
      <c r="D146" s="24" t="str">
        <f>IFERROR(__xludf.DUMMYFUNCTION("""COMPUTED_VALUE"""),"Editus")</f>
        <v>Editus</v>
      </c>
      <c r="E146" s="25">
        <f>IFERROR(__xludf.DUMMYFUNCTION("""COMPUTED_VALUE"""),2016.0)</f>
        <v>2016</v>
      </c>
      <c r="F146" s="24" t="str">
        <f>IFERROR(__xludf.DUMMYFUNCTION("""COMPUTED_VALUE"""),"Recursos audiovisuais; Cinema")</f>
        <v>Recursos audiovisuais; Cinema</v>
      </c>
      <c r="G146" s="28" t="str">
        <f>IFERROR(__xludf.DUMMYFUNCTION("""COMPUTED_VALUE"""),"9788574554150")</f>
        <v>9788574554150</v>
      </c>
      <c r="H146" s="29" t="str">
        <f>IFERROR(__xludf.DUMMYFUNCTION("""COMPUTED_VALUE"""),"http://www.uesc.br/editora/livrosdigitais2018/desen-pro-audio.pdf")</f>
        <v>http://www.uesc.br/editora/livrosdigitais2018/desen-pro-audio.pdf</v>
      </c>
      <c r="I146" s="24" t="str">
        <f>IFERROR(__xludf.DUMMYFUNCTION("""COMPUTED_VALUE"""),"Lingüística Letras e Artes")</f>
        <v>Lingüística Letras e Artes</v>
      </c>
    </row>
    <row r="147">
      <c r="A147" s="24" t="str">
        <f>IFERROR(__xludf.DUMMYFUNCTION("""COMPUTED_VALUE"""),"Deslocamentos culturais e suas formas de representação")</f>
        <v>Deslocamentos culturais e suas formas de representação</v>
      </c>
      <c r="B147" s="24" t="str">
        <f>IFERROR(__xludf.DUMMYFUNCTION("""COMPUTED_VALUE"""),"Tatiana da Silva Capaverde; Liliam Ramos da Silva (org.)")</f>
        <v>Tatiana da Silva Capaverde; Liliam Ramos da Silva (org.)</v>
      </c>
      <c r="C147" s="24" t="str">
        <f>IFERROR(__xludf.DUMMYFUNCTION("""COMPUTED_VALUE"""),"Boa Vista ")</f>
        <v>Boa Vista </v>
      </c>
      <c r="D147" s="24" t="str">
        <f>IFERROR(__xludf.DUMMYFUNCTION("""COMPUTED_VALUE"""),"UFRR")</f>
        <v>UFRR</v>
      </c>
      <c r="E147" s="25">
        <f>IFERROR(__xludf.DUMMYFUNCTION("""COMPUTED_VALUE"""),2019.0)</f>
        <v>2019</v>
      </c>
      <c r="F147" s="24" t="str">
        <f>IFERROR(__xludf.DUMMYFUNCTION("""COMPUTED_VALUE"""),"Cultura; Representação cultural; Deslocamentos; culturais; Diálogos literários")</f>
        <v>Cultura; Representação cultural; Deslocamentos; culturais; Diálogos literários</v>
      </c>
      <c r="G147" s="28" t="str">
        <f>IFERROR(__xludf.DUMMYFUNCTION("""COMPUTED_VALUE"""),"9788582881958")</f>
        <v>9788582881958</v>
      </c>
      <c r="H147" s="29" t="str">
        <f>IFERROR(__xludf.DUMMYFUNCTION("""COMPUTED_VALUE"""),"http://ufrr.br/editora/index.php/editais?download=412")</f>
        <v>http://ufrr.br/editora/index.php/editais?download=412</v>
      </c>
      <c r="I147" s="24" t="str">
        <f>IFERROR(__xludf.DUMMYFUNCTION("""COMPUTED_VALUE"""),"Lingüística Letras e Artes")</f>
        <v>Lingüística Letras e Artes</v>
      </c>
    </row>
    <row r="148">
      <c r="A148" s="24" t="str">
        <f>IFERROR(__xludf.DUMMYFUNCTION("""COMPUTED_VALUE"""),"Diálogos silenciosos")</f>
        <v>Diálogos silenciosos</v>
      </c>
      <c r="B148" s="24" t="str">
        <f>IFERROR(__xludf.DUMMYFUNCTION("""COMPUTED_VALUE"""),"Flávio Romero Guimarães")</f>
        <v>Flávio Romero Guimarães</v>
      </c>
      <c r="C148" s="24" t="str">
        <f>IFERROR(__xludf.DUMMYFUNCTION("""COMPUTED_VALUE"""),"Campina Grande")</f>
        <v>Campina Grande</v>
      </c>
      <c r="D148" s="24" t="str">
        <f>IFERROR(__xludf.DUMMYFUNCTION("""COMPUTED_VALUE"""),"EDUEPB")</f>
        <v>EDUEPB</v>
      </c>
      <c r="E148" s="25">
        <f>IFERROR(__xludf.DUMMYFUNCTION("""COMPUTED_VALUE"""),2019.0)</f>
        <v>2019</v>
      </c>
      <c r="F148" s="24" t="str">
        <f>IFERROR(__xludf.DUMMYFUNCTION("""COMPUTED_VALUE"""),"Crônica brasileira. Discurso silencioso. Polissemia poética. Interatividade verbal. Crônica - gênero textual")</f>
        <v>Crônica brasileira. Discurso silencioso. Polissemia poética. Interatividade verbal. Crônica - gênero textual</v>
      </c>
      <c r="G148" s="28" t="str">
        <f>IFERROR(__xludf.DUMMYFUNCTION("""COMPUTED_VALUE"""),"9788563984654")</f>
        <v>9788563984654</v>
      </c>
      <c r="H148" s="29" t="str">
        <f>IFERROR(__xludf.DUMMYFUNCTION("""COMPUTED_VALUE"""),"http://eduepb.uepb.edu.br/download/dialogos-silenciosos/?wpdmdl=691&amp;amp;masterkey=5cb74485e63d6")</f>
        <v>http://eduepb.uepb.edu.br/download/dialogos-silenciosos/?wpdmdl=691&amp;amp;masterkey=5cb74485e63d6</v>
      </c>
      <c r="I148" s="24" t="str">
        <f>IFERROR(__xludf.DUMMYFUNCTION("""COMPUTED_VALUE"""),"Lingüística Letras e Artes")</f>
        <v>Lingüística Letras e Artes</v>
      </c>
    </row>
    <row r="149">
      <c r="A149" s="24" t="str">
        <f>IFERROR(__xludf.DUMMYFUNCTION("""COMPUTED_VALUE"""),"Diário de ideias: linhas de experiências")</f>
        <v>Diário de ideias: linhas de experiências</v>
      </c>
      <c r="B149" s="24" t="str">
        <f>IFERROR(__xludf.DUMMYFUNCTION("""COMPUTED_VALUE"""),"Luciana Soares Muniz.")</f>
        <v>Luciana Soares Muniz.</v>
      </c>
      <c r="C149" s="24" t="str">
        <f>IFERROR(__xludf.DUMMYFUNCTION("""COMPUTED_VALUE"""),"Uberlândia")</f>
        <v>Uberlândia</v>
      </c>
      <c r="D149" s="24" t="str">
        <f>IFERROR(__xludf.DUMMYFUNCTION("""COMPUTED_VALUE"""),"EDUFU")</f>
        <v>EDUFU</v>
      </c>
      <c r="E149" s="25">
        <f>IFERROR(__xludf.DUMMYFUNCTION("""COMPUTED_VALUE"""),2020.0)</f>
        <v>2020</v>
      </c>
      <c r="F149" s="24" t="str">
        <f>IFERROR(__xludf.DUMMYFUNCTION("""COMPUTED_VALUE"""),"Leitura; Escrita; Subjetividade; Criatividade. I. Título")</f>
        <v>Leitura; Escrita; Subjetividade; Criatividade. I. Título</v>
      </c>
      <c r="G149" s="28" t="str">
        <f>IFERROR(__xludf.DUMMYFUNCTION("""COMPUTED_VALUE"""),"9788570785244")</f>
        <v>9788570785244</v>
      </c>
      <c r="H149" s="29" t="str">
        <f>IFERROR(__xludf.DUMMYFUNCTION("""COMPUTED_VALUE"""),"http://www.edufu.ufu.br/sites/edufu.ufu.br/files/diario_de_ideias_ebook_2020_1.pdf")</f>
        <v>http://www.edufu.ufu.br/sites/edufu.ufu.br/files/diario_de_ideias_ebook_2020_1.pdf</v>
      </c>
      <c r="I149" s="24" t="str">
        <f>IFERROR(__xludf.DUMMYFUNCTION("""COMPUTED_VALUE"""),"Lingüística Letras e Artes")</f>
        <v>Lingüística Letras e Artes</v>
      </c>
    </row>
    <row r="150">
      <c r="A150" s="24" t="str">
        <f>IFERROR(__xludf.DUMMYFUNCTION("""COMPUTED_VALUE"""),"Diário de ideias: linhas de experiências: caderno")</f>
        <v>Diário de ideias: linhas de experiências: caderno</v>
      </c>
      <c r="B150" s="24" t="str">
        <f>IFERROR(__xludf.DUMMYFUNCTION("""COMPUTED_VALUE"""),"Luciana Soares Muniz")</f>
        <v>Luciana Soares Muniz</v>
      </c>
      <c r="C150" s="24" t="str">
        <f>IFERROR(__xludf.DUMMYFUNCTION("""COMPUTED_VALUE"""),"Uberlândia")</f>
        <v>Uberlândia</v>
      </c>
      <c r="D150" s="24" t="str">
        <f>IFERROR(__xludf.DUMMYFUNCTION("""COMPUTED_VALUE"""),"EDUFU")</f>
        <v>EDUFU</v>
      </c>
      <c r="E150" s="25">
        <f>IFERROR(__xludf.DUMMYFUNCTION("""COMPUTED_VALUE"""),2020.0)</f>
        <v>2020</v>
      </c>
      <c r="F150" s="24" t="str">
        <f>IFERROR(__xludf.DUMMYFUNCTION("""COMPUTED_VALUE"""),"Leitura; Escrita; Subjetividade; Criatividade")</f>
        <v>Leitura; Escrita; Subjetividade; Criatividade</v>
      </c>
      <c r="G150" s="26"/>
      <c r="H150" s="29" t="str">
        <f>IFERROR(__xludf.DUMMYFUNCTION("""COMPUTED_VALUE"""),"http://www.edufu.ufu.br/sites/edufu.ufu.br/files/como_montar_seu_diario_de_ideias_4.pdf")</f>
        <v>http://www.edufu.ufu.br/sites/edufu.ufu.br/files/como_montar_seu_diario_de_ideias_4.pdf</v>
      </c>
      <c r="I150" s="24" t="str">
        <f>IFERROR(__xludf.DUMMYFUNCTION("""COMPUTED_VALUE"""),"Lingüística Letras e Artes")</f>
        <v>Lingüística Letras e Artes</v>
      </c>
    </row>
    <row r="151">
      <c r="A151" s="24" t="str">
        <f>IFERROR(__xludf.DUMMYFUNCTION("""COMPUTED_VALUE"""),"Dicionário corográfico do Estado da Paraíba")</f>
        <v>Dicionário corográfico do Estado da Paraíba</v>
      </c>
      <c r="B151" s="24" t="str">
        <f>IFERROR(__xludf.DUMMYFUNCTION("""COMPUTED_VALUE"""),"João Rodrigues Coriolano de Medeiros")</f>
        <v>João Rodrigues Coriolano de Medeiros</v>
      </c>
      <c r="C151" s="24" t="str">
        <f>IFERROR(__xludf.DUMMYFUNCTION("""COMPUTED_VALUE"""),"João Pessoa")</f>
        <v>João Pessoa</v>
      </c>
      <c r="D151" s="24" t="str">
        <f>IFERROR(__xludf.DUMMYFUNCTION("""COMPUTED_VALUE"""),"Editora IFPB")</f>
        <v>Editora IFPB</v>
      </c>
      <c r="E151" s="25">
        <f>IFERROR(__xludf.DUMMYFUNCTION("""COMPUTED_VALUE"""),2016.0)</f>
        <v>2016</v>
      </c>
      <c r="F151" s="24" t="str">
        <f>IFERROR(__xludf.DUMMYFUNCTION("""COMPUTED_VALUE"""),"Dicionário corográfico; Geografia regional; Cronologia histórica e geográfica")</f>
        <v>Dicionário corográfico; Geografia regional; Cronologia histórica e geográfica</v>
      </c>
      <c r="G151" s="28" t="str">
        <f>IFERROR(__xludf.DUMMYFUNCTION("""COMPUTED_VALUE"""),"9788563406781")</f>
        <v>9788563406781</v>
      </c>
      <c r="H151" s="29" t="str">
        <f>IFERROR(__xludf.DUMMYFUNCTION("""COMPUTED_VALUE"""),"http://editora.ifpb.edu.br/index.php/ifpb/catalog/book/10")</f>
        <v>http://editora.ifpb.edu.br/index.php/ifpb/catalog/book/10</v>
      </c>
      <c r="I151" s="24" t="str">
        <f>IFERROR(__xludf.DUMMYFUNCTION("""COMPUTED_VALUE"""),"Lingüística Letras e Artes")</f>
        <v>Lingüística Letras e Artes</v>
      </c>
    </row>
    <row r="152">
      <c r="A152" s="24" t="str">
        <f>IFERROR(__xludf.DUMMYFUNCTION("""COMPUTED_VALUE"""),"Discurso de constituição da fronteira de Mato Grosso")</f>
        <v>Discurso de constituição da fronteira de Mato Grosso</v>
      </c>
      <c r="B152" s="24" t="str">
        <f>IFERROR(__xludf.DUMMYFUNCTION("""COMPUTED_VALUE"""),"Olga Maria Castrillon-Mendes")</f>
        <v>Olga Maria Castrillon-Mendes</v>
      </c>
      <c r="C152" s="24" t="str">
        <f>IFERROR(__xludf.DUMMYFUNCTION("""COMPUTED_VALUE"""),"Cáceres")</f>
        <v>Cáceres</v>
      </c>
      <c r="D152" s="24" t="str">
        <f>IFERROR(__xludf.DUMMYFUNCTION("""COMPUTED_VALUE"""),"UNEMAT")</f>
        <v>UNEMAT</v>
      </c>
      <c r="E152" s="25">
        <f>IFERROR(__xludf.DUMMYFUNCTION("""COMPUTED_VALUE"""),2017.0)</f>
        <v>2017</v>
      </c>
      <c r="F152" s="24" t="str">
        <f>IFERROR(__xludf.DUMMYFUNCTION("""COMPUTED_VALUE"""),"Discurso; Linguística; Mato Grosso")</f>
        <v>Discurso; Linguística; Mato Grosso</v>
      </c>
      <c r="G152" s="28" t="str">
        <f>IFERROR(__xludf.DUMMYFUNCTION("""COMPUTED_VALUE"""),"9788579111631")</f>
        <v>9788579111631</v>
      </c>
      <c r="H152" s="29" t="str">
        <f>IFERROR(__xludf.DUMMYFUNCTION("""COMPUTED_VALUE"""),"http://www.unemat.br/reitoria/editora/downloads/eletronico/discurso_de_constituicao_da_fronteira_de_mato_grosso-prof.olga.pdf")</f>
        <v>http://www.unemat.br/reitoria/editora/downloads/eletronico/discurso_de_constituicao_da_fronteira_de_mato_grosso-prof.olga.pdf</v>
      </c>
      <c r="I152" s="24" t="str">
        <f>IFERROR(__xludf.DUMMYFUNCTION("""COMPUTED_VALUE"""),"Lingüística Letras e Artes")</f>
        <v>Lingüística Letras e Artes</v>
      </c>
    </row>
    <row r="153">
      <c r="A153" s="24" t="str">
        <f>IFERROR(__xludf.DUMMYFUNCTION("""COMPUTED_VALUE"""),"Discurso e publicidade: dos processos de identificação e alteridade pela propaganda brasileira ")</f>
        <v>Discurso e publicidade: dos processos de identificação e alteridade pela propaganda brasileira </v>
      </c>
      <c r="B153" s="24" t="str">
        <f>IFERROR(__xludf.DUMMYFUNCTION("""COMPUTED_VALUE"""),"Rosane da Conceição Pereira")</f>
        <v>Rosane da Conceição Pereira</v>
      </c>
      <c r="C153" s="24" t="str">
        <f>IFERROR(__xludf.DUMMYFUNCTION("""COMPUTED_VALUE"""),"Niterói, RJ")</f>
        <v>Niterói, RJ</v>
      </c>
      <c r="D153" s="24" t="str">
        <f>IFERROR(__xludf.DUMMYFUNCTION("""COMPUTED_VALUE"""),"EDUFF")</f>
        <v>EDUFF</v>
      </c>
      <c r="E153" s="25">
        <f>IFERROR(__xludf.DUMMYFUNCTION("""COMPUTED_VALUE"""),2008.0)</f>
        <v>2008</v>
      </c>
      <c r="F153" s="24" t="str">
        <f>IFERROR(__xludf.DUMMYFUNCTION("""COMPUTED_VALUE"""),"Publicidade - Linguagem; Propaganda - Linguagem; Análise do; discurso (Lingüística); Comunicação Social")</f>
        <v>Publicidade - Linguagem; Propaganda - Linguagem; Análise do; discurso (Lingüística); Comunicação Social</v>
      </c>
      <c r="G153" s="28" t="str">
        <f>IFERROR(__xludf.DUMMYFUNCTION("""COMPUTED_VALUE"""),"9788522804757")</f>
        <v>9788522804757</v>
      </c>
      <c r="H153" s="29" t="str">
        <f>IFERROR(__xludf.DUMMYFUNCTION("""COMPUTED_VALUE"""),"http://www.eduff.uff.br/ebooks/Discurso-e-publicidade.pdf")</f>
        <v>http://www.eduff.uff.br/ebooks/Discurso-e-publicidade.pdf</v>
      </c>
      <c r="I153" s="24" t="str">
        <f>IFERROR(__xludf.DUMMYFUNCTION("""COMPUTED_VALUE"""),"Lingüística Letras e Artes")</f>
        <v>Lingüística Letras e Artes</v>
      </c>
    </row>
    <row r="154">
      <c r="A154" s="24" t="str">
        <f>IFERROR(__xludf.DUMMYFUNCTION("""COMPUTED_VALUE"""),"Discurso e Representação da Memória no Manifesto: O Visconde de Ouro Preto aos seus concidadãos, do Visconde de Ouro Preto (1891)")</f>
        <v>Discurso e Representação da Memória no Manifesto: O Visconde de Ouro Preto aos seus concidadãos, do Visconde de Ouro Preto (1891)</v>
      </c>
      <c r="B154" s="24" t="str">
        <f>IFERROR(__xludf.DUMMYFUNCTION("""COMPUTED_VALUE"""),"Nárllen Dayane Advíncula Miguel")</f>
        <v>Nárllen Dayane Advíncula Miguel</v>
      </c>
      <c r="C154" s="24" t="str">
        <f>IFERROR(__xludf.DUMMYFUNCTION("""COMPUTED_VALUE"""),"Ouro Preto")</f>
        <v>Ouro Preto</v>
      </c>
      <c r="D154" s="24" t="str">
        <f>IFERROR(__xludf.DUMMYFUNCTION("""COMPUTED_VALUE"""),"UFOP")</f>
        <v>UFOP</v>
      </c>
      <c r="E154" s="25">
        <f>IFERROR(__xludf.DUMMYFUNCTION("""COMPUTED_VALUE"""),2017.0)</f>
        <v>2017</v>
      </c>
      <c r="F154" s="24" t="str">
        <f>IFERROR(__xludf.DUMMYFUNCTION("""COMPUTED_VALUE"""),"Visconde de Ouro Preto (Ouro Preto, MG). Linguagem e história. Memória na literatura - Discursos, alocuções")</f>
        <v>Visconde de Ouro Preto (Ouro Preto, MG). Linguagem e história. Memória na literatura - Discursos, alocuções</v>
      </c>
      <c r="G154" s="28" t="str">
        <f>IFERROR(__xludf.DUMMYFUNCTION("""COMPUTED_VALUE"""),"9788528803549")</f>
        <v>9788528803549</v>
      </c>
      <c r="H154" s="29" t="str">
        <f>IFERROR(__xludf.DUMMYFUNCTION("""COMPUTED_VALUE"""),"https://www.editora.ufop.br/index.php/editora/catalog/view/129/104/340-1")</f>
        <v>https://www.editora.ufop.br/index.php/editora/catalog/view/129/104/340-1</v>
      </c>
      <c r="I154" s="24" t="str">
        <f>IFERROR(__xludf.DUMMYFUNCTION("""COMPUTED_VALUE"""),"Lingüística Letras e Artes")</f>
        <v>Lingüística Letras e Artes</v>
      </c>
    </row>
    <row r="155">
      <c r="A155" s="24" t="str">
        <f>IFERROR(__xludf.DUMMYFUNCTION("""COMPUTED_VALUE"""),"Diversidade e variação linguística em Mato Grosso")</f>
        <v>Diversidade e variação linguística em Mato Grosso</v>
      </c>
      <c r="B155" s="24" t="str">
        <f>IFERROR(__xludf.DUMMYFUNCTION("""COMPUTED_VALUE"""),"Neusa Inês Philippsen, José Leonildo Lima (org.)")</f>
        <v>Neusa Inês Philippsen, José Leonildo Lima (org.)</v>
      </c>
      <c r="C155" s="24" t="str">
        <f>IFERROR(__xludf.DUMMYFUNCTION("""COMPUTED_VALUE"""),"Cáceres")</f>
        <v>Cáceres</v>
      </c>
      <c r="D155" s="24" t="str">
        <f>IFERROR(__xludf.DUMMYFUNCTION("""COMPUTED_VALUE"""),"UNEMAT")</f>
        <v>UNEMAT</v>
      </c>
      <c r="E155" s="25">
        <f>IFERROR(__xludf.DUMMYFUNCTION("""COMPUTED_VALUE"""),2018.0)</f>
        <v>2018</v>
      </c>
      <c r="F155" s="24" t="str">
        <f>IFERROR(__xludf.DUMMYFUNCTION("""COMPUTED_VALUE"""),"Linguística; Letras; Mato Grosso")</f>
        <v>Linguística; Letras; Mato Grosso</v>
      </c>
      <c r="G155" s="28" t="str">
        <f>IFERROR(__xludf.DUMMYFUNCTION("""COMPUTED_VALUE"""),"9788579111761")</f>
        <v>9788579111761</v>
      </c>
      <c r="H155" s="29" t="str">
        <f>IFERROR(__xludf.DUMMYFUNCTION("""COMPUTED_VALUE"""),"http://portal.unemat.br/media/files/Editora/Diversidades-Lingu%C3%ADsticasmar19.pdf")</f>
        <v>http://portal.unemat.br/media/files/Editora/Diversidades-Lingu%C3%ADsticasmar19.pdf</v>
      </c>
      <c r="I155" s="24" t="str">
        <f>IFERROR(__xludf.DUMMYFUNCTION("""COMPUTED_VALUE"""),"Lingüística Letras e Artes")</f>
        <v>Lingüística Letras e Artes</v>
      </c>
    </row>
    <row r="156">
      <c r="A156" s="24" t="str">
        <f>IFERROR(__xludf.DUMMYFUNCTION("""COMPUTED_VALUE"""),"Do Barroco: ensaios")</f>
        <v>Do Barroco: ensaios</v>
      </c>
      <c r="B156" s="24" t="str">
        <f>IFERROR(__xludf.DUMMYFUNCTION("""COMPUTED_VALUE"""),"Afrânio Coutinho")</f>
        <v>Afrânio Coutinho</v>
      </c>
      <c r="C156" s="24" t="str">
        <f>IFERROR(__xludf.DUMMYFUNCTION("""COMPUTED_VALUE"""),"Rio de Janeiro")</f>
        <v>Rio de Janeiro</v>
      </c>
      <c r="D156" s="24" t="str">
        <f>IFERROR(__xludf.DUMMYFUNCTION("""COMPUTED_VALUE"""),"Editora UFRJ / Tempo Brasileiro")</f>
        <v>Editora UFRJ / Tempo Brasileiro</v>
      </c>
      <c r="E156" s="25">
        <f>IFERROR(__xludf.DUMMYFUNCTION("""COMPUTED_VALUE"""),1994.0)</f>
        <v>1994</v>
      </c>
      <c r="F156" s="24" t="str">
        <f>IFERROR(__xludf.DUMMYFUNCTION("""COMPUTED_VALUE"""),"Literatura Brasileira; Arte; Arte Barroca; Barroco")</f>
        <v>Literatura Brasileira; Arte; Arte Barroca; Barroco</v>
      </c>
      <c r="G156" s="28" t="str">
        <f>IFERROR(__xludf.DUMMYFUNCTION("""COMPUTED_VALUE"""),"85710814X")</f>
        <v>85710814X</v>
      </c>
      <c r="H156" s="29" t="str">
        <f>IFERROR(__xludf.DUMMYFUNCTION("""COMPUTED_VALUE"""),"http://www.editora.ufrj.br/DynamicItems/livrosabertos-1/Do-Barroco_compressed.pdf")</f>
        <v>http://www.editora.ufrj.br/DynamicItems/livrosabertos-1/Do-Barroco_compressed.pdf</v>
      </c>
      <c r="I156" s="24" t="str">
        <f>IFERROR(__xludf.DUMMYFUNCTION("""COMPUTED_VALUE"""),"Lingüística Letras e Artes")</f>
        <v>Lingüística Letras e Artes</v>
      </c>
    </row>
    <row r="157">
      <c r="A157" s="24" t="str">
        <f>IFERROR(__xludf.DUMMYFUNCTION("""COMPUTED_VALUE"""),"Do campo abandonado para a cidade suportada: Campo e cidade na Literatura Brasileira — coleção olhares --")</f>
        <v>Do campo abandonado para a cidade suportada: Campo e cidade na Literatura Brasileira — coleção olhares --</v>
      </c>
      <c r="B157" s="24" t="str">
        <f>IFERROR(__xludf.DUMMYFUNCTION("""COMPUTED_VALUE"""),"Ewerton de Freitas Ignácio")</f>
        <v>Ewerton de Freitas Ignácio</v>
      </c>
      <c r="C157" s="24" t="str">
        <f>IFERROR(__xludf.DUMMYFUNCTION("""COMPUTED_VALUE"""),"Anápolis")</f>
        <v>Anápolis</v>
      </c>
      <c r="D157" s="24" t="str">
        <f>IFERROR(__xludf.DUMMYFUNCTION("""COMPUTED_VALUE"""),"UEG")</f>
        <v>UEG</v>
      </c>
      <c r="E157" s="25">
        <f>IFERROR(__xludf.DUMMYFUNCTION("""COMPUTED_VALUE"""),2010.0)</f>
        <v>2010</v>
      </c>
      <c r="F157" s="24" t="str">
        <f>IFERROR(__xludf.DUMMYFUNCTION("""COMPUTED_VALUE"""),"Literatura - Brasil; Crítica literária; Literatura brasileira - Campo - Cidade")</f>
        <v>Literatura - Brasil; Crítica literária; Literatura brasileira - Campo - Cidade</v>
      </c>
      <c r="G157" s="28" t="str">
        <f>IFERROR(__xludf.DUMMYFUNCTION("""COMPUTED_VALUE"""),"9788563192080")</f>
        <v>9788563192080</v>
      </c>
      <c r="H157" s="29" t="str">
        <f>IFERROR(__xludf.DUMMYFUNCTION("""COMPUTED_VALUE"""),"http://cdn.ueg.edu.br/source/editora_ueg/conteudoN/4946/pdf_colecao_olhares/livro04_ewerton_de_freitas.pdf")</f>
        <v>http://cdn.ueg.edu.br/source/editora_ueg/conteudoN/4946/pdf_colecao_olhares/livro04_ewerton_de_freitas.pdf</v>
      </c>
      <c r="I157" s="24" t="str">
        <f>IFERROR(__xludf.DUMMYFUNCTION("""COMPUTED_VALUE"""),"Lingüística Letras e Artes")</f>
        <v>Lingüística Letras e Artes</v>
      </c>
    </row>
    <row r="158">
      <c r="A158" s="24" t="str">
        <f>IFERROR(__xludf.DUMMYFUNCTION("""COMPUTED_VALUE"""),"Do jeito que você gosta (As you like it)")</f>
        <v>Do jeito que você gosta (As you like it)</v>
      </c>
      <c r="B158" s="24" t="str">
        <f>IFERROR(__xludf.DUMMYFUNCTION("""COMPUTED_VALUE"""),"Shakespeare, William")</f>
        <v>Shakespeare, William</v>
      </c>
      <c r="C158" s="24" t="str">
        <f>IFERROR(__xludf.DUMMYFUNCTION("""COMPUTED_VALUE"""),"Florianópolis")</f>
        <v>Florianópolis</v>
      </c>
      <c r="D158" s="24" t="str">
        <f>IFERROR(__xludf.DUMMYFUNCTION("""COMPUTED_VALUE"""),"Editora da UFSC")</f>
        <v>Editora da UFSC</v>
      </c>
      <c r="E158" s="25">
        <f>IFERROR(__xludf.DUMMYFUNCTION("""COMPUTED_VALUE"""),2011.0)</f>
        <v>2011</v>
      </c>
      <c r="F158" s="24" t="str">
        <f>IFERROR(__xludf.DUMMYFUNCTION("""COMPUTED_VALUE"""),"Literatura inglesa;Teatro inglês")</f>
        <v>Literatura inglesa;Teatro inglês</v>
      </c>
      <c r="G158" s="28" t="str">
        <f>IFERROR(__xludf.DUMMYFUNCTION("""COMPUTED_VALUE"""),"9788532805287")</f>
        <v>9788532805287</v>
      </c>
      <c r="H158" s="29" t="str">
        <f>IFERROR(__xludf.DUMMYFUNCTION("""COMPUTED_VALUE"""),"https://repositorio.ufsc.br/handle/123456789/187718")</f>
        <v>https://repositorio.ufsc.br/handle/123456789/187718</v>
      </c>
      <c r="I158" s="24" t="str">
        <f>IFERROR(__xludf.DUMMYFUNCTION("""COMPUTED_VALUE"""),"Lingüística Letras e Artes")</f>
        <v>Lingüística Letras e Artes</v>
      </c>
    </row>
    <row r="159">
      <c r="A159" s="24" t="str">
        <f>IFERROR(__xludf.DUMMYFUNCTION("""COMPUTED_VALUE"""),"Do penhor à pena: estudos do mito de Don Juan, desdobramentos e equivalências ")</f>
        <v>Do penhor à pena: estudos do mito de Don Juan, desdobramentos e equivalências </v>
      </c>
      <c r="B159" s="24" t="str">
        <f>IFERROR(__xludf.DUMMYFUNCTION("""COMPUTED_VALUE"""),"Jorge de Souza Araújo")</f>
        <v>Jorge de Souza Araújo</v>
      </c>
      <c r="C159" s="24" t="str">
        <f>IFERROR(__xludf.DUMMYFUNCTION("""COMPUTED_VALUE"""),"Ilhéus, BA")</f>
        <v>Ilhéus, BA</v>
      </c>
      <c r="D159" s="24" t="str">
        <f>IFERROR(__xludf.DUMMYFUNCTION("""COMPUTED_VALUE"""),"Editus")</f>
        <v>Editus</v>
      </c>
      <c r="E159" s="25">
        <f>IFERROR(__xludf.DUMMYFUNCTION("""COMPUTED_VALUE"""),2005.0)</f>
        <v>2005</v>
      </c>
      <c r="F159" s="24" t="str">
        <f>IFERROR(__xludf.DUMMYFUNCTION("""COMPUTED_VALUE"""),"Mito na literatura; Don Juan (Personagem lendário) - Literatura; Sedução na literatura; Ensaios brasileiros")</f>
        <v>Mito na literatura; Don Juan (Personagem lendário) - Literatura; Sedução na literatura; Ensaios brasileiros</v>
      </c>
      <c r="G159" s="28" t="str">
        <f>IFERROR(__xludf.DUMMYFUNCTION("""COMPUTED_VALUE"""),"8574550965")</f>
        <v>8574550965</v>
      </c>
      <c r="H159" s="29" t="str">
        <f>IFERROR(__xludf.DUMMYFUNCTION("""COMPUTED_VALUE"""),"http://www.uesc.br/editora/livrosdigitais2016/do_penhor_a_pena.pdf")</f>
        <v>http://www.uesc.br/editora/livrosdigitais2016/do_penhor_a_pena.pdf</v>
      </c>
      <c r="I159" s="24" t="str">
        <f>IFERROR(__xludf.DUMMYFUNCTION("""COMPUTED_VALUE"""),"Lingüística Letras e Artes")</f>
        <v>Lingüística Letras e Artes</v>
      </c>
    </row>
    <row r="160">
      <c r="A160" s="24" t="str">
        <f>IFERROR(__xludf.DUMMYFUNCTION("""COMPUTED_VALUE"""),"Dramaturgia, Teatro E Outros Diálogos Interculturais")</f>
        <v>Dramaturgia, Teatro E Outros Diálogos Interculturais</v>
      </c>
      <c r="B160" s="24" t="str">
        <f>IFERROR(__xludf.DUMMYFUNCTION("""COMPUTED_VALUE"""),"Diógenes André Vieira Maciel (org.)")</f>
        <v>Diógenes André Vieira Maciel (org.)</v>
      </c>
      <c r="C160" s="24" t="str">
        <f>IFERROR(__xludf.DUMMYFUNCTION("""COMPUTED_VALUE"""),"Campina Grande")</f>
        <v>Campina Grande</v>
      </c>
      <c r="D160" s="24" t="str">
        <f>IFERROR(__xludf.DUMMYFUNCTION("""COMPUTED_VALUE"""),"EDUEPB")</f>
        <v>EDUEPB</v>
      </c>
      <c r="E160" s="25">
        <f>IFERROR(__xludf.DUMMYFUNCTION("""COMPUTED_VALUE"""),2016.0)</f>
        <v>2016</v>
      </c>
      <c r="F160" s="24" t="str">
        <f>IFERROR(__xludf.DUMMYFUNCTION("""COMPUTED_VALUE"""),"Teatro. Literatura. Dramaturgia na Paraíba. Cultura. História do teatro paraibano. Arte")</f>
        <v>Teatro. Literatura. Dramaturgia na Paraíba. Cultura. História do teatro paraibano. Arte</v>
      </c>
      <c r="G160" s="28" t="str">
        <f>IFERROR(__xludf.DUMMYFUNCTION("""COMPUTED_VALUE"""),"9788578793548")</f>
        <v>9788578793548</v>
      </c>
      <c r="H160" s="29" t="str">
        <f>IFERROR(__xludf.DUMMYFUNCTION("""COMPUTED_VALUE"""),"http://eduepb.uepb.edu.br/download/dramaturgia-teatro-e-outros-dialogos-interculturais/?wpdmdl=180&amp;amp;masterkey=5af99a28e944a")</f>
        <v>http://eduepb.uepb.edu.br/download/dramaturgia-teatro-e-outros-dialogos-interculturais/?wpdmdl=180&amp;amp;masterkey=5af99a28e944a</v>
      </c>
      <c r="I160" s="24" t="str">
        <f>IFERROR(__xludf.DUMMYFUNCTION("""COMPUTED_VALUE"""),"Lingüística Letras e Artes")</f>
        <v>Lingüística Letras e Artes</v>
      </c>
    </row>
    <row r="161">
      <c r="A161" s="24" t="str">
        <f>IFERROR(__xludf.DUMMYFUNCTION("""COMPUTED_VALUE"""),"Drummond: a invenção de um poeta nacional pelo livro didático")</f>
        <v>Drummond: a invenção de um poeta nacional pelo livro didático</v>
      </c>
      <c r="B161" s="24" t="str">
        <f>IFERROR(__xludf.DUMMYFUNCTION("""COMPUTED_VALUE"""),"Maria Amélia Dalvi")</f>
        <v>Maria Amélia Dalvi</v>
      </c>
      <c r="C161" s="24" t="str">
        <f>IFERROR(__xludf.DUMMYFUNCTION("""COMPUTED_VALUE"""),"Vitória")</f>
        <v>Vitória</v>
      </c>
      <c r="D161" s="24" t="str">
        <f>IFERROR(__xludf.DUMMYFUNCTION("""COMPUTED_VALUE"""),"EDUFES")</f>
        <v>EDUFES</v>
      </c>
      <c r="E161" s="25">
        <f>IFERROR(__xludf.DUMMYFUNCTION("""COMPUTED_VALUE"""),2013.0)</f>
        <v>2013</v>
      </c>
      <c r="F161" s="24" t="str">
        <f>IFERROR(__xludf.DUMMYFUNCTION("""COMPUTED_VALUE"""),"Crítica e interpretação; Programa Nacional do Livro Didático; Poesia brasileira; Livros didáticos")</f>
        <v>Crítica e interpretação; Programa Nacional do Livro Didático; Poesia brasileira; Livros didáticos</v>
      </c>
      <c r="G161" s="28" t="str">
        <f>IFERROR(__xludf.DUMMYFUNCTION("""COMPUTED_VALUE"""),"9788577721429")</f>
        <v>9788577721429</v>
      </c>
      <c r="H161" s="29" t="str">
        <f>IFERROR(__xludf.DUMMYFUNCTION("""COMPUTED_VALUE"""),"http://repositorio.ufes.br/bitstream/10/793/1/livro%20edufes%20Drummond%20a%20inven%C3%A7%C3%A3o%20de%20um%20poeta%20nacional%20pelo%20livro%20didatico.pdf")</f>
        <v>http://repositorio.ufes.br/bitstream/10/793/1/livro%20edufes%20Drummond%20a%20inven%C3%A7%C3%A3o%20de%20um%20poeta%20nacional%20pelo%20livro%20didatico.pdf</v>
      </c>
      <c r="I161" s="24" t="str">
        <f>IFERROR(__xludf.DUMMYFUNCTION("""COMPUTED_VALUE"""),"Lingüística Letras e Artes")</f>
        <v>Lingüística Letras e Artes</v>
      </c>
    </row>
    <row r="162">
      <c r="A162" s="24" t="str">
        <f>IFERROR(__xludf.DUMMYFUNCTION("""COMPUTED_VALUE"""),"Drummond: do corpo ao corpus: o amor natural toma parte no projeto poético-pensante")</f>
        <v>Drummond: do corpo ao corpus: o amor natural toma parte no projeto poético-pensante</v>
      </c>
      <c r="B162" s="24" t="str">
        <f>IFERROR(__xludf.DUMMYFUNCTION("""COMPUTED_VALUE"""),"Maria Amélia Dalvi.")</f>
        <v>Maria Amélia Dalvi.</v>
      </c>
      <c r="C162" s="24" t="str">
        <f>IFERROR(__xludf.DUMMYFUNCTION("""COMPUTED_VALUE"""),"Vitória")</f>
        <v>Vitória</v>
      </c>
      <c r="D162" s="24" t="str">
        <f>IFERROR(__xludf.DUMMYFUNCTION("""COMPUTED_VALUE"""),"EDUFES")</f>
        <v>EDUFES</v>
      </c>
      <c r="E162" s="25">
        <f>IFERROR(__xludf.DUMMYFUNCTION("""COMPUTED_VALUE"""),2013.0)</f>
        <v>2013</v>
      </c>
      <c r="F162" s="24" t="str">
        <f>IFERROR(__xludf.DUMMYFUNCTION("""COMPUTED_VALUE"""),"Crítica e interpretação; Poesia brasileira; Poesia")</f>
        <v>Crítica e interpretação; Poesia brasileira; Poesia</v>
      </c>
      <c r="G162" s="28" t="str">
        <f>IFERROR(__xludf.DUMMYFUNCTION("""COMPUTED_VALUE"""),"9788577721283")</f>
        <v>9788577721283</v>
      </c>
      <c r="H162" s="29" t="str">
        <f>IFERROR(__xludf.DUMMYFUNCTION("""COMPUTED_VALUE"""),"http://repositorio.ufes.br/bitstream/10/789/1/livro%20edufes%20Drummond%2C%20do%20corpo%20ao%20corpus%20o%20amor%20natural%20toma%20parte%20no%20projeto%20po%C3%A9tico-pensante.pdf")</f>
        <v>http://repositorio.ufes.br/bitstream/10/789/1/livro%20edufes%20Drummond%2C%20do%20corpo%20ao%20corpus%20o%20amor%20natural%20toma%20parte%20no%20projeto%20po%C3%A9tico-pensante.pdf</v>
      </c>
      <c r="I162" s="24" t="str">
        <f>IFERROR(__xludf.DUMMYFUNCTION("""COMPUTED_VALUE"""),"Lingüística Letras e Artes")</f>
        <v>Lingüística Letras e Artes</v>
      </c>
    </row>
    <row r="163">
      <c r="A163" s="24" t="str">
        <f>IFERROR(__xludf.DUMMYFUNCTION("""COMPUTED_VALUE"""),"Ecos de Clarice")</f>
        <v>Ecos de Clarice</v>
      </c>
      <c r="B163" s="24" t="str">
        <f>IFERROR(__xludf.DUMMYFUNCTION("""COMPUTED_VALUE"""),"Márcia Meira Basto")</f>
        <v>Márcia Meira Basto</v>
      </c>
      <c r="C163" s="24" t="str">
        <f>IFERROR(__xludf.DUMMYFUNCTION("""COMPUTED_VALUE"""),"Recife")</f>
        <v>Recife</v>
      </c>
      <c r="D163" s="24" t="str">
        <f>IFERROR(__xludf.DUMMYFUNCTION("""COMPUTED_VALUE"""),"Fundação Joaquim Nabuco / Editora Massangana")</f>
        <v>Fundação Joaquim Nabuco / Editora Massangana</v>
      </c>
      <c r="E163" s="25">
        <f>IFERROR(__xludf.DUMMYFUNCTION("""COMPUTED_VALUE"""),2018.0)</f>
        <v>2018</v>
      </c>
      <c r="F163" s="24" t="str">
        <f>IFERROR(__xludf.DUMMYFUNCTION("""COMPUTED_VALUE"""),"Clarice Lispector; Literatura brasileira; Contos; Críticas ")</f>
        <v>Clarice Lispector; Literatura brasileira; Contos; Críticas </v>
      </c>
      <c r="G163" s="28" t="str">
        <f>IFERROR(__xludf.DUMMYFUNCTION("""COMPUTED_VALUE"""),"9788570196866")</f>
        <v>9788570196866</v>
      </c>
      <c r="H163" s="29" t="str">
        <f>IFERROR(__xludf.DUMMYFUNCTION("""COMPUTED_VALUE"""),"https://www.fundaj.gov.br/images/stories/editora/livros/ecos_de_clarice_portal.pdf")</f>
        <v>https://www.fundaj.gov.br/images/stories/editora/livros/ecos_de_clarice_portal.pdf</v>
      </c>
      <c r="I163" s="24" t="str">
        <f>IFERROR(__xludf.DUMMYFUNCTION("""COMPUTED_VALUE"""),"Lingüística Letras e Artes")</f>
        <v>Lingüística Letras e Artes</v>
      </c>
    </row>
    <row r="164">
      <c r="A164" s="24" t="str">
        <f>IFERROR(__xludf.DUMMYFUNCTION("""COMPUTED_VALUE"""),"Ecos no porão: volume 1")</f>
        <v>Ecos no porão: volume 1</v>
      </c>
      <c r="B164" s="24" t="str">
        <f>IFERROR(__xludf.DUMMYFUNCTION("""COMPUTED_VALUE"""),"Souza, Silveira de")</f>
        <v>Souza, Silveira de</v>
      </c>
      <c r="C164" s="24" t="str">
        <f>IFERROR(__xludf.DUMMYFUNCTION("""COMPUTED_VALUE"""),"Florianópolis")</f>
        <v>Florianópolis</v>
      </c>
      <c r="D164" s="24" t="str">
        <f>IFERROR(__xludf.DUMMYFUNCTION("""COMPUTED_VALUE"""),"Editora da UFSC")</f>
        <v>Editora da UFSC</v>
      </c>
      <c r="E164" s="25">
        <f>IFERROR(__xludf.DUMMYFUNCTION("""COMPUTED_VALUE"""),2010.0)</f>
        <v>2010</v>
      </c>
      <c r="F164" s="24" t="str">
        <f>IFERROR(__xludf.DUMMYFUNCTION("""COMPUTED_VALUE"""),"Literatura brasileira;Contos catarinenses")</f>
        <v>Literatura brasileira;Contos catarinenses</v>
      </c>
      <c r="G164" s="28" t="str">
        <f>IFERROR(__xludf.DUMMYFUNCTION("""COMPUTED_VALUE"""),"9788532805157")</f>
        <v>9788532805157</v>
      </c>
      <c r="H164" s="29" t="str">
        <f>IFERROR(__xludf.DUMMYFUNCTION("""COMPUTED_VALUE"""),"https://repositorio.ufsc.br/handle/123456789/187722")</f>
        <v>https://repositorio.ufsc.br/handle/123456789/187722</v>
      </c>
      <c r="I164" s="24" t="str">
        <f>IFERROR(__xludf.DUMMYFUNCTION("""COMPUTED_VALUE"""),"Lingüística Letras e Artes")</f>
        <v>Lingüística Letras e Artes</v>
      </c>
    </row>
    <row r="165">
      <c r="A165" s="24" t="str">
        <f>IFERROR(__xludf.DUMMYFUNCTION("""COMPUTED_VALUE"""),"Ecos no porão: volume 2")</f>
        <v>Ecos no porão: volume 2</v>
      </c>
      <c r="B165" s="24" t="str">
        <f>IFERROR(__xludf.DUMMYFUNCTION("""COMPUTED_VALUE"""),"Souza, Silveira de")</f>
        <v>Souza, Silveira de</v>
      </c>
      <c r="C165" s="24" t="str">
        <f>IFERROR(__xludf.DUMMYFUNCTION("""COMPUTED_VALUE"""),"Florianópolis")</f>
        <v>Florianópolis</v>
      </c>
      <c r="D165" s="24" t="str">
        <f>IFERROR(__xludf.DUMMYFUNCTION("""COMPUTED_VALUE"""),"Editora da UFSC")</f>
        <v>Editora da UFSC</v>
      </c>
      <c r="E165" s="25">
        <f>IFERROR(__xludf.DUMMYFUNCTION("""COMPUTED_VALUE"""),2010.0)</f>
        <v>2010</v>
      </c>
      <c r="F165" s="24" t="str">
        <f>IFERROR(__xludf.DUMMYFUNCTION("""COMPUTED_VALUE"""),"Literatura brasileira;Contos catarinenses")</f>
        <v>Literatura brasileira;Contos catarinenses</v>
      </c>
      <c r="G165" s="28" t="str">
        <f>IFERROR(__xludf.DUMMYFUNCTION("""COMPUTED_VALUE"""),"9788532805355")</f>
        <v>9788532805355</v>
      </c>
      <c r="H165" s="29" t="str">
        <f>IFERROR(__xludf.DUMMYFUNCTION("""COMPUTED_VALUE"""),"https://repositorio.ufsc.br/handle/123456789/187724")</f>
        <v>https://repositorio.ufsc.br/handle/123456789/187724</v>
      </c>
      <c r="I165" s="24" t="str">
        <f>IFERROR(__xludf.DUMMYFUNCTION("""COMPUTED_VALUE"""),"Lingüística Letras e Artes")</f>
        <v>Lingüística Letras e Artes</v>
      </c>
    </row>
    <row r="166">
      <c r="A166" s="24" t="str">
        <f>IFERROR(__xludf.DUMMYFUNCTION("""COMPUTED_VALUE"""),"Educação e Linguística: resultados dos projetos de iniciação científica da Universidade Federal do Amapá (2012-2016)")</f>
        <v>Educação e Linguística: resultados dos projetos de iniciação científica da Universidade Federal do Amapá (2012-2016)</v>
      </c>
      <c r="B166" s="24" t="str">
        <f>IFERROR(__xludf.DUMMYFUNCTION("""COMPUTED_VALUE"""),"Organização de Alaan Ubaiara Brito, Cris Evelin da Costa Dalmácio e Helena Cristina Guimarães Queiroz Simões. ")</f>
        <v>Organização de Alaan Ubaiara Brito, Cris Evelin da Costa Dalmácio e Helena Cristina Guimarães Queiroz Simões. </v>
      </c>
      <c r="C166" s="24" t="str">
        <f>IFERROR(__xludf.DUMMYFUNCTION("""COMPUTED_VALUE"""),"Macapá")</f>
        <v>Macapá</v>
      </c>
      <c r="D166" s="24" t="str">
        <f>IFERROR(__xludf.DUMMYFUNCTION("""COMPUTED_VALUE"""),"UNIFAP")</f>
        <v>UNIFAP</v>
      </c>
      <c r="E166" s="25">
        <f>IFERROR(__xludf.DUMMYFUNCTION("""COMPUTED_VALUE"""),2017.0)</f>
        <v>2017</v>
      </c>
      <c r="F166" s="24" t="str">
        <f>IFERROR(__xludf.DUMMYFUNCTION("""COMPUTED_VALUE"""),"Educação; Ensino – Material Didático; Linguística; Língua Indígena")</f>
        <v>Educação; Ensino – Material Didático; Linguística; Língua Indígena</v>
      </c>
      <c r="G166" s="28" t="str">
        <f>IFERROR(__xludf.DUMMYFUNCTION("""COMPUTED_VALUE"""),"9788562359668")</f>
        <v>9788562359668</v>
      </c>
      <c r="H166" s="29" t="str">
        <f>IFERROR(__xludf.DUMMYFUNCTION("""COMPUTED_VALUE"""),"https://www2.unifap.br/editora/files/2014/12/Livro-ELA-finalizado.pdf")</f>
        <v>https://www2.unifap.br/editora/files/2014/12/Livro-ELA-finalizado.pdf</v>
      </c>
      <c r="I166" s="24" t="str">
        <f>IFERROR(__xludf.DUMMYFUNCTION("""COMPUTED_VALUE"""),"Lingüística Letras e Artes")</f>
        <v>Lingüística Letras e Artes</v>
      </c>
    </row>
    <row r="167">
      <c r="A167" s="24" t="str">
        <f>IFERROR(__xludf.DUMMYFUNCTION("""COMPUTED_VALUE"""),"Educação em Arte na contemporaneidade")</f>
        <v>Educação em Arte na contemporaneidade</v>
      </c>
      <c r="B167" s="24" t="str">
        <f>IFERROR(__xludf.DUMMYFUNCTION("""COMPUTED_VALUE"""),"Maria Gorete Dadalto Gonçalves, Moema Martins Rebouças (org.)")</f>
        <v>Maria Gorete Dadalto Gonçalves, Moema Martins Rebouças (org.)</v>
      </c>
      <c r="C167" s="24" t="str">
        <f>IFERROR(__xludf.DUMMYFUNCTION("""COMPUTED_VALUE"""),"Vitória")</f>
        <v>Vitória</v>
      </c>
      <c r="D167" s="24" t="str">
        <f>IFERROR(__xludf.DUMMYFUNCTION("""COMPUTED_VALUE"""),"EDUFES")</f>
        <v>EDUFES</v>
      </c>
      <c r="E167" s="25">
        <f>IFERROR(__xludf.DUMMYFUNCTION("""COMPUTED_VALUE"""),2015.0)</f>
        <v>2015</v>
      </c>
      <c r="F167" s="24" t="str">
        <f>IFERROR(__xludf.DUMMYFUNCTION("""COMPUTED_VALUE"""),"Arte; Estudo e ensino; Educação")</f>
        <v>Arte; Estudo e ensino; Educação</v>
      </c>
      <c r="G167" s="28" t="str">
        <f>IFERROR(__xludf.DUMMYFUNCTION("""COMPUTED_VALUE"""),"9788577722792")</f>
        <v>9788577722792</v>
      </c>
      <c r="H167" s="29" t="str">
        <f>IFERROR(__xludf.DUMMYFUNCTION("""COMPUTED_VALUE"""),"http://repositorio.ufes.br/handle/10/1416")</f>
        <v>http://repositorio.ufes.br/handle/10/1416</v>
      </c>
      <c r="I167" s="24" t="str">
        <f>IFERROR(__xludf.DUMMYFUNCTION("""COMPUTED_VALUE"""),"Lingüística Letras e Artes")</f>
        <v>Lingüística Letras e Artes</v>
      </c>
    </row>
    <row r="168">
      <c r="A168" s="24" t="str">
        <f>IFERROR(__xludf.DUMMYFUNCTION("""COMPUTED_VALUE"""),"Encontros com as Imagens Medievais")</f>
        <v>Encontros com as Imagens Medievais</v>
      </c>
      <c r="B168" s="24" t="str">
        <f>IFERROR(__xludf.DUMMYFUNCTION("""COMPUTED_VALUE"""),"Maria Cristina Correia L. Pereira (org.)")</f>
        <v>Maria Cristina Correia L. Pereira (org.)</v>
      </c>
      <c r="C168" s="24" t="str">
        <f>IFERROR(__xludf.DUMMYFUNCTION("""COMPUTED_VALUE"""),"Macapá")</f>
        <v>Macapá</v>
      </c>
      <c r="D168" s="24" t="str">
        <f>IFERROR(__xludf.DUMMYFUNCTION("""COMPUTED_VALUE"""),"UNIFAP")</f>
        <v>UNIFAP</v>
      </c>
      <c r="E168" s="25">
        <f>IFERROR(__xludf.DUMMYFUNCTION("""COMPUTED_VALUE"""),2017.0)</f>
        <v>2017</v>
      </c>
      <c r="F168" s="24" t="str">
        <f>IFERROR(__xludf.DUMMYFUNCTION("""COMPUTED_VALUE"""),"História da Arte Medieval; História das Imagens")</f>
        <v>História da Arte Medieval; História das Imagens</v>
      </c>
      <c r="G168" s="28" t="str">
        <f>IFERROR(__xludf.DUMMYFUNCTION("""COMPUTED_VALUE"""),"9788554760052")</f>
        <v>9788554760052</v>
      </c>
      <c r="H168" s="29" t="str">
        <f>IFERROR(__xludf.DUMMYFUNCTION("""COMPUTED_VALUE"""),"https://www2.unifap.br/editora/files/2014/12/PEREIRA-2017.-Encontros-com-as-imagens-medievais.pdf")</f>
        <v>https://www2.unifap.br/editora/files/2014/12/PEREIRA-2017.-Encontros-com-as-imagens-medievais.pdf</v>
      </c>
      <c r="I168" s="24" t="str">
        <f>IFERROR(__xludf.DUMMYFUNCTION("""COMPUTED_VALUE"""),"Lingüística Letras e Artes")</f>
        <v>Lingüística Letras e Artes</v>
      </c>
    </row>
    <row r="169">
      <c r="A169" s="24" t="str">
        <f>IFERROR(__xludf.DUMMYFUNCTION("""COMPUTED_VALUE"""),"Encontros entre história e Literatura ")</f>
        <v>Encontros entre história e Literatura </v>
      </c>
      <c r="B169" s="24" t="str">
        <f>IFERROR(__xludf.DUMMYFUNCTION("""COMPUTED_VALUE"""),"Aruanã Antonio dos Passos; Deuzair José da Silva; Geraldo Witeze Júnior; Leandro Rocha Resende (org.)")</f>
        <v>Aruanã Antonio dos Passos; Deuzair José da Silva; Geraldo Witeze Júnior; Leandro Rocha Resende (org.)</v>
      </c>
      <c r="C169" s="24" t="str">
        <f>IFERROR(__xludf.DUMMYFUNCTION("""COMPUTED_VALUE"""),"Anápolis")</f>
        <v>Anápolis</v>
      </c>
      <c r="D169" s="24" t="str">
        <f>IFERROR(__xludf.DUMMYFUNCTION("""COMPUTED_VALUE"""),"UEG")</f>
        <v>UEG</v>
      </c>
      <c r="E169" s="25">
        <f>IFERROR(__xludf.DUMMYFUNCTION("""COMPUTED_VALUE"""),2013.0)</f>
        <v>2013</v>
      </c>
      <c r="F169" s="24" t="str">
        <f>IFERROR(__xludf.DUMMYFUNCTION("""COMPUTED_VALUE"""),"Estudos literários comparados; Litaratura comparada; História")</f>
        <v>Estudos literários comparados; Litaratura comparada; História</v>
      </c>
      <c r="G169" s="28" t="str">
        <f>IFERROR(__xludf.DUMMYFUNCTION("""COMPUTED_VALUE"""),"9788563192561")</f>
        <v>9788563192561</v>
      </c>
      <c r="H169" s="29" t="str">
        <f>IFERROR(__xludf.DUMMYFUNCTION("""COMPUTED_VALUE"""),"http://cdn.ueg.edu.br/source/editora_ueg/conteudo_compartilhado/11008/ebook_encontro_entre_historia_e_literatura.pdf")</f>
        <v>http://cdn.ueg.edu.br/source/editora_ueg/conteudo_compartilhado/11008/ebook_encontro_entre_historia_e_literatura.pdf</v>
      </c>
      <c r="I169" s="24" t="str">
        <f>IFERROR(__xludf.DUMMYFUNCTION("""COMPUTED_VALUE"""),"Lingüística Letras e Artes")</f>
        <v>Lingüística Letras e Artes</v>
      </c>
    </row>
    <row r="170">
      <c r="A170" s="24" t="str">
        <f>IFERROR(__xludf.DUMMYFUNCTION("""COMPUTED_VALUE"""),"Engrenagem do futuro")</f>
        <v>Engrenagem do futuro</v>
      </c>
      <c r="B170" s="24" t="str">
        <f>IFERROR(__xludf.DUMMYFUNCTION("""COMPUTED_VALUE"""),"Renata Angélica Pozzetti (org.)")</f>
        <v>Renata Angélica Pozzetti (org.)</v>
      </c>
      <c r="C170" s="24" t="str">
        <f>IFERROR(__xludf.DUMMYFUNCTION("""COMPUTED_VALUE"""),"São Bernardo do Campo, SP")</f>
        <v>São Bernardo do Campo, SP</v>
      </c>
      <c r="D170" s="24" t="str">
        <f>IFERROR(__xludf.DUMMYFUNCTION("""COMPUTED_VALUE"""),"UMESP")</f>
        <v>UMESP</v>
      </c>
      <c r="E170" s="25">
        <f>IFERROR(__xludf.DUMMYFUNCTION("""COMPUTED_VALUE"""),2014.0)</f>
        <v>2014</v>
      </c>
      <c r="F170" s="24" t="str">
        <f>IFERROR(__xludf.DUMMYFUNCTION("""COMPUTED_VALUE"""),"Literatura infantojuvenil. Poesia")</f>
        <v>Literatura infantojuvenil. Poesia</v>
      </c>
      <c r="G170" s="28" t="str">
        <f>IFERROR(__xludf.DUMMYFUNCTION("""COMPUTED_VALUE"""),"9788578142926")</f>
        <v>9788578142926</v>
      </c>
      <c r="H170" s="29" t="str">
        <f>IFERROR(__xludf.DUMMYFUNCTION("""COMPUTED_VALUE"""),"http://editora.metodista.br/livros-gratis/engrenagemdofuturofinal.pdf/at_download/file")</f>
        <v>http://editora.metodista.br/livros-gratis/engrenagemdofuturofinal.pdf/at_download/file</v>
      </c>
      <c r="I170" s="24" t="str">
        <f>IFERROR(__xludf.DUMMYFUNCTION("""COMPUTED_VALUE"""),"Lingüística Letras e Artes")</f>
        <v>Lingüística Letras e Artes</v>
      </c>
    </row>
    <row r="171">
      <c r="A171" s="24" t="str">
        <f>IFERROR(__xludf.DUMMYFUNCTION("""COMPUTED_VALUE"""),"Ensaio sobre o desenho infantil")</f>
        <v>Ensaio sobre o desenho infantil</v>
      </c>
      <c r="B171" s="24" t="str">
        <f>IFERROR(__xludf.DUMMYFUNCTION("""COMPUTED_VALUE"""),"César Pereira Cola")</f>
        <v>César Pereira Cola</v>
      </c>
      <c r="C171" s="24" t="str">
        <f>IFERROR(__xludf.DUMMYFUNCTION("""COMPUTED_VALUE"""),"Vitória")</f>
        <v>Vitória</v>
      </c>
      <c r="D171" s="24" t="str">
        <f>IFERROR(__xludf.DUMMYFUNCTION("""COMPUTED_VALUE"""),"EDUFES")</f>
        <v>EDUFES</v>
      </c>
      <c r="E171" s="25">
        <f>IFERROR(__xludf.DUMMYFUNCTION("""COMPUTED_VALUE"""),2014.0)</f>
        <v>2014</v>
      </c>
      <c r="F171" s="24" t="str">
        <f>IFERROR(__xludf.DUMMYFUNCTION("""COMPUTED_VALUE"""),"Desenho infantil; Educação de crianças; Arte e educação")</f>
        <v>Desenho infantil; Educação de crianças; Arte e educação</v>
      </c>
      <c r="G171" s="28" t="str">
        <f>IFERROR(__xludf.DUMMYFUNCTION("""COMPUTED_VALUE"""),"9788577722266")</f>
        <v>9788577722266</v>
      </c>
      <c r="H171" s="29" t="str">
        <f>IFERROR(__xludf.DUMMYFUNCTION("""COMPUTED_VALUE"""),"http://repositorio.ufes.br/handle/10/1629")</f>
        <v>http://repositorio.ufes.br/handle/10/1629</v>
      </c>
      <c r="I171" s="24" t="str">
        <f>IFERROR(__xludf.DUMMYFUNCTION("""COMPUTED_VALUE"""),"Lingüística Letras e Artes")</f>
        <v>Lingüística Letras e Artes</v>
      </c>
    </row>
    <row r="172">
      <c r="A172" s="24" t="str">
        <f>IFERROR(__xludf.DUMMYFUNCTION("""COMPUTED_VALUE"""),"Ensaios sobre cultura, literatura e história")</f>
        <v>Ensaios sobre cultura, literatura e história</v>
      </c>
      <c r="B172" s="24" t="str">
        <f>IFERROR(__xludf.DUMMYFUNCTION("""COMPUTED_VALUE"""),"Organizadora: Márcia Maria de Medeiros ")</f>
        <v>Organizadora: Márcia Maria de Medeiros </v>
      </c>
      <c r="C172" s="24" t="str">
        <f>IFERROR(__xludf.DUMMYFUNCTION("""COMPUTED_VALUE"""),"Dourados, MS")</f>
        <v>Dourados, MS</v>
      </c>
      <c r="D172" s="24" t="str">
        <f>IFERROR(__xludf.DUMMYFUNCTION("""COMPUTED_VALUE"""),"Ed. UEMS/UFGD")</f>
        <v>Ed. UEMS/UFGD</v>
      </c>
      <c r="E172" s="25">
        <f>IFERROR(__xludf.DUMMYFUNCTION("""COMPUTED_VALUE"""),2013.0)</f>
        <v>2013</v>
      </c>
      <c r="F172" s="24" t="str">
        <f>IFERROR(__xludf.DUMMYFUNCTION("""COMPUTED_VALUE"""),"Literatura – Crítica; História")</f>
        <v>Literatura – Crítica; História</v>
      </c>
      <c r="G172" s="28" t="str">
        <f>IFERROR(__xludf.DUMMYFUNCTION("""COMPUTED_VALUE"""),"9788581470528")</f>
        <v>9788581470528</v>
      </c>
      <c r="H172" s="29" t="str">
        <f>IFERROR(__xludf.DUMMYFUNCTION("""COMPUTED_VALUE"""),"http://omp.ufgd.edu.br/omp/index.php/livrosabertos/catalog/view/93/100/376-1")</f>
        <v>http://omp.ufgd.edu.br/omp/index.php/livrosabertos/catalog/view/93/100/376-1</v>
      </c>
      <c r="I172" s="24" t="str">
        <f>IFERROR(__xludf.DUMMYFUNCTION("""COMPUTED_VALUE"""),"Lingüística Letras e Artes")</f>
        <v>Lingüística Letras e Artes</v>
      </c>
    </row>
    <row r="173">
      <c r="A173" s="24" t="str">
        <f>IFERROR(__xludf.DUMMYFUNCTION("""COMPUTED_VALUE"""),"Ensino de Línguas e Educação Escolar Indígena (Série Ensino de Línguas em Contexto Indígena – ELCIND)")</f>
        <v>Ensino de Línguas e Educação Escolar Indígena (Série Ensino de Línguas em Contexto Indígena – ELCIND)</v>
      </c>
      <c r="B173" s="24" t="str">
        <f>IFERROR(__xludf.DUMMYFUNCTION("""COMPUTED_VALUE"""),"Antonio Almir Silva Gomes; Organizador")</f>
        <v>Antonio Almir Silva Gomes; Organizador</v>
      </c>
      <c r="C173" s="24" t="str">
        <f>IFERROR(__xludf.DUMMYFUNCTION("""COMPUTED_VALUE"""),"Macapá")</f>
        <v>Macapá</v>
      </c>
      <c r="D173" s="24" t="str">
        <f>IFERROR(__xludf.DUMMYFUNCTION("""COMPUTED_VALUE"""),"UNIFAP")</f>
        <v>UNIFAP</v>
      </c>
      <c r="E173" s="25">
        <f>IFERROR(__xludf.DUMMYFUNCTION("""COMPUTED_VALUE"""),2019.0)</f>
        <v>2019</v>
      </c>
      <c r="F173" s="24" t="str">
        <f>IFERROR(__xludf.DUMMYFUNCTION("""COMPUTED_VALUE"""),"Educação; Educação escolar; Ensino de línguas")</f>
        <v>Educação; Educação escolar; Ensino de línguas</v>
      </c>
      <c r="G173" s="28" t="str">
        <f>IFERROR(__xludf.DUMMYFUNCTION("""COMPUTED_VALUE"""),"9786599011092")</f>
        <v>9786599011092</v>
      </c>
      <c r="H173" s="29" t="str">
        <f>IFERROR(__xludf.DUMMYFUNCTION("""COMPUTED_VALUE"""),"https://www2.unifap.br/editora/files/2020/08/ensino-de-linguas-e-educacao-indigena.pdf")</f>
        <v>https://www2.unifap.br/editora/files/2020/08/ensino-de-linguas-e-educacao-indigena.pdf</v>
      </c>
      <c r="I173" s="24" t="str">
        <f>IFERROR(__xludf.DUMMYFUNCTION("""COMPUTED_VALUE"""),"Lingüística Letras e Artes")</f>
        <v>Lingüística Letras e Artes</v>
      </c>
    </row>
    <row r="174">
      <c r="A174" s="24" t="str">
        <f>IFERROR(__xludf.DUMMYFUNCTION("""COMPUTED_VALUE"""),"Ensino, discursos e relações sociais: o fazer da linguística na contemporaneidade")</f>
        <v>Ensino, discursos e relações sociais: o fazer da linguística na contemporaneidade</v>
      </c>
      <c r="B174" s="24" t="str">
        <f>IFERROR(__xludf.DUMMYFUNCTION("""COMPUTED_VALUE"""),"Heloane Baia Nogueira; Rosivaldo Gomes; Suzana do Espírito Santo Barros (org.); ")</f>
        <v>Heloane Baia Nogueira; Rosivaldo Gomes; Suzana do Espírito Santo Barros (org.); </v>
      </c>
      <c r="C174" s="24" t="str">
        <f>IFERROR(__xludf.DUMMYFUNCTION("""COMPUTED_VALUE"""),"Macapá")</f>
        <v>Macapá</v>
      </c>
      <c r="D174" s="24" t="str">
        <f>IFERROR(__xludf.DUMMYFUNCTION("""COMPUTED_VALUE"""),"UNIFAP")</f>
        <v>UNIFAP</v>
      </c>
      <c r="E174" s="25">
        <f>IFERROR(__xludf.DUMMYFUNCTION("""COMPUTED_VALUE"""),2019.0)</f>
        <v>2019</v>
      </c>
      <c r="F174" s="24" t="str">
        <f>IFERROR(__xludf.DUMMYFUNCTION("""COMPUTED_VALUE"""),"Ensino; Linguística; Livro didático")</f>
        <v>Ensino; Linguística; Livro didático</v>
      </c>
      <c r="G174" s="28" t="str">
        <f>IFERROR(__xludf.DUMMYFUNCTION("""COMPUTED_VALUE"""),"9788554760588")</f>
        <v>9788554760588</v>
      </c>
      <c r="H174" s="29" t="str">
        <f>IFERROR(__xludf.DUMMYFUNCTION("""COMPUTED_VALUE"""),"https://www2.unifap.br/editora/files/2019/02/Ensino-discursos-e-relacoes-sociais.pdf")</f>
        <v>https://www2.unifap.br/editora/files/2019/02/Ensino-discursos-e-relacoes-sociais.pdf</v>
      </c>
      <c r="I174" s="24" t="str">
        <f>IFERROR(__xludf.DUMMYFUNCTION("""COMPUTED_VALUE"""),"Lingüística Letras e Artes")</f>
        <v>Lingüística Letras e Artes</v>
      </c>
    </row>
    <row r="175">
      <c r="A175" s="24" t="str">
        <f>IFERROR(__xludf.DUMMYFUNCTION("""COMPUTED_VALUE"""),"Entre uma coisa e outra")</f>
        <v>Entre uma coisa e outra</v>
      </c>
      <c r="B175" s="24" t="str">
        <f>IFERROR(__xludf.DUMMYFUNCTION("""COMPUTED_VALUE"""),"Valéria Vanda Xavier Nunes")</f>
        <v>Valéria Vanda Xavier Nunes</v>
      </c>
      <c r="C175" s="24" t="str">
        <f>IFERROR(__xludf.DUMMYFUNCTION("""COMPUTED_VALUE"""),"Campina Grande")</f>
        <v>Campina Grande</v>
      </c>
      <c r="D175" s="24" t="str">
        <f>IFERROR(__xludf.DUMMYFUNCTION("""COMPUTED_VALUE"""),"EDUEPB")</f>
        <v>EDUEPB</v>
      </c>
      <c r="E175" s="25">
        <f>IFERROR(__xludf.DUMMYFUNCTION("""COMPUTED_VALUE"""),2018.0)</f>
        <v>2018</v>
      </c>
      <c r="F175" s="24" t="str">
        <f>IFERROR(__xludf.DUMMYFUNCTION("""COMPUTED_VALUE"""),"Poesia. Romance. Poesia popular")</f>
        <v>Poesia. Romance. Poesia popular</v>
      </c>
      <c r="G175" s="28" t="str">
        <f>IFERROR(__xludf.DUMMYFUNCTION("""COMPUTED_VALUE"""),"9788563984708")</f>
        <v>9788563984708</v>
      </c>
      <c r="H175" s="29" t="str">
        <f>IFERROR(__xludf.DUMMYFUNCTION("""COMPUTED_VALUE"""),"http://eduepb.uepb.edu.br/download/entre-uma-coisa-e-outra/?wpdmdl=861&amp;#038;masterkey=5d979c0e7d06b")</f>
        <v>http://eduepb.uepb.edu.br/download/entre-uma-coisa-e-outra/?wpdmdl=861&amp;#038;masterkey=5d979c0e7d06b</v>
      </c>
      <c r="I175" s="24" t="str">
        <f>IFERROR(__xludf.DUMMYFUNCTION("""COMPUTED_VALUE"""),"Lingüística Letras e Artes")</f>
        <v>Lingüística Letras e Artes</v>
      </c>
    </row>
    <row r="176">
      <c r="A176" s="24" t="str">
        <f>IFERROR(__xludf.DUMMYFUNCTION("""COMPUTED_VALUE"""),"Entrelaçando olhares por uma Educação Planetária")</f>
        <v>Entrelaçando olhares por uma Educação Planetária</v>
      </c>
      <c r="B176" s="24" t="str">
        <f>IFERROR(__xludf.DUMMYFUNCTION("""COMPUTED_VALUE"""),"Renato Pontes Costa e Valéria Mendonça Vianna ")</f>
        <v>Renato Pontes Costa e Valéria Mendonça Vianna </v>
      </c>
      <c r="C176" s="24" t="str">
        <f>IFERROR(__xludf.DUMMYFUNCTION("""COMPUTED_VALUE"""),"Rio de Janeiro")</f>
        <v>Rio de Janeiro</v>
      </c>
      <c r="D176" s="24" t="str">
        <f>IFERROR(__xludf.DUMMYFUNCTION("""COMPUTED_VALUE"""),"Editora Caetés")</f>
        <v>Editora Caetés</v>
      </c>
      <c r="E176" s="25">
        <f>IFERROR(__xludf.DUMMYFUNCTION("""COMPUTED_VALUE"""),2014.0)</f>
        <v>2014</v>
      </c>
      <c r="F176" s="24" t="str">
        <f>IFERROR(__xludf.DUMMYFUNCTION("""COMPUTED_VALUE"""),"Jovens; Adultos; Educação")</f>
        <v>Jovens; Adultos; Educação</v>
      </c>
      <c r="G176" s="28" t="str">
        <f>IFERROR(__xludf.DUMMYFUNCTION("""COMPUTED_VALUE"""),"9788586478871")</f>
        <v>9788586478871</v>
      </c>
      <c r="H176" s="29" t="str">
        <f>IFERROR(__xludf.DUMMYFUNCTION("""COMPUTED_VALUE"""),"https://www.eduerj.com/eng/?product=entrelacando-olhares-por-uma-educacao-planetaria")</f>
        <v>https://www.eduerj.com/eng/?product=entrelacando-olhares-por-uma-educacao-planetaria</v>
      </c>
      <c r="I176" s="24" t="str">
        <f>IFERROR(__xludf.DUMMYFUNCTION("""COMPUTED_VALUE"""),"Lingüística Letras e Artes")</f>
        <v>Lingüística Letras e Artes</v>
      </c>
    </row>
    <row r="177">
      <c r="A177" s="24" t="str">
        <f>IFERROR(__xludf.DUMMYFUNCTION("""COMPUTED_VALUE"""),"Entrevistas com escritores de Minas Gerais")</f>
        <v>Entrevistas com escritores de Minas Gerais</v>
      </c>
      <c r="B177" s="24" t="str">
        <f>IFERROR(__xludf.DUMMYFUNCTION("""COMPUTED_VALUE"""),"Giovanni Ricciardi")</f>
        <v>Giovanni Ricciardi</v>
      </c>
      <c r="C177" s="24" t="str">
        <f>IFERROR(__xludf.DUMMYFUNCTION("""COMPUTED_VALUE"""),"Ouro Preto")</f>
        <v>Ouro Preto</v>
      </c>
      <c r="D177" s="24" t="str">
        <f>IFERROR(__xludf.DUMMYFUNCTION("""COMPUTED_VALUE"""),"UFOP")</f>
        <v>UFOP</v>
      </c>
      <c r="E177" s="25">
        <f>IFERROR(__xludf.DUMMYFUNCTION("""COMPUTED_VALUE"""),2008.0)</f>
        <v>2008</v>
      </c>
      <c r="F177" s="24" t="str">
        <f>IFERROR(__xludf.DUMMYFUNCTION("""COMPUTED_VALUE"""),"Escritores brasileiros - Minas Gerais. Escritores brasileiros -Entrevista")</f>
        <v>Escritores brasileiros - Minas Gerais. Escritores brasileiros -Entrevista</v>
      </c>
      <c r="G177" s="28" t="str">
        <f>IFERROR(__xludf.DUMMYFUNCTION("""COMPUTED_VALUE"""),"9788528800593")</f>
        <v>9788528800593</v>
      </c>
      <c r="H177" s="29" t="str">
        <f>IFERROR(__xludf.DUMMYFUNCTION("""COMPUTED_VALUE"""),"https://www.editora.ufop.br/index.php/editora/catalog/view/157/126/413-1")</f>
        <v>https://www.editora.ufop.br/index.php/editora/catalog/view/157/126/413-1</v>
      </c>
      <c r="I177" s="24" t="str">
        <f>IFERROR(__xludf.DUMMYFUNCTION("""COMPUTED_VALUE"""),"Lingüística Letras e Artes")</f>
        <v>Lingüística Letras e Artes</v>
      </c>
    </row>
    <row r="178">
      <c r="A178" s="24" t="str">
        <f>IFERROR(__xludf.DUMMYFUNCTION("""COMPUTED_VALUE"""),"Ervais, pantanais e guavirais: cultura e literatura no Mato Grosso do Sul ")</f>
        <v>Ervais, pantanais e guavirais: cultura e literatura no Mato Grosso do Sul </v>
      </c>
      <c r="B178" s="24" t="str">
        <f>IFERROR(__xludf.DUMMYFUNCTION("""COMPUTED_VALUE"""),"Alexandra Santos Pinheiro; Paulo Bungart Neto (org.)")</f>
        <v>Alexandra Santos Pinheiro; Paulo Bungart Neto (org.)</v>
      </c>
      <c r="C178" s="24" t="str">
        <f>IFERROR(__xludf.DUMMYFUNCTION("""COMPUTED_VALUE"""),"Dourados, MS")</f>
        <v>Dourados, MS</v>
      </c>
      <c r="D178" s="24" t="str">
        <f>IFERROR(__xludf.DUMMYFUNCTION("""COMPUTED_VALUE"""),"Ed. UFGD")</f>
        <v>Ed. UFGD</v>
      </c>
      <c r="E178" s="25">
        <f>IFERROR(__xludf.DUMMYFUNCTION("""COMPUTED_VALUE"""),2013.0)</f>
        <v>2013</v>
      </c>
      <c r="F178" s="24" t="str">
        <f>IFERROR(__xludf.DUMMYFUNCTION("""COMPUTED_VALUE"""),"Literatura – Mato Grosso do Sul; Escritores sul-mato-grossenses; Biografias")</f>
        <v>Literatura – Mato Grosso do Sul; Escritores sul-mato-grossenses; Biografias</v>
      </c>
      <c r="G178" s="28" t="str">
        <f>IFERROR(__xludf.DUMMYFUNCTION("""COMPUTED_VALUE"""),"9788581470412")</f>
        <v>9788581470412</v>
      </c>
      <c r="H178" s="29" t="str">
        <f>IFERROR(__xludf.DUMMYFUNCTION("""COMPUTED_VALUE"""),"http://omp.ufgd.edu.br/omp/index.php/livrosabertos/catalog/view/100/241/522-1")</f>
        <v>http://omp.ufgd.edu.br/omp/index.php/livrosabertos/catalog/view/100/241/522-1</v>
      </c>
      <c r="I178" s="24" t="str">
        <f>IFERROR(__xludf.DUMMYFUNCTION("""COMPUTED_VALUE"""),"Lingüística Letras e Artes")</f>
        <v>Lingüística Letras e Artes</v>
      </c>
    </row>
    <row r="179">
      <c r="A179" s="24" t="str">
        <f>IFERROR(__xludf.DUMMYFUNCTION("""COMPUTED_VALUE"""),"Escritores, críticos e leitores fora do lugar: contemporâneos na cena da globalização")</f>
        <v>Escritores, críticos e leitores fora do lugar: contemporâneos na cena da globalização</v>
      </c>
      <c r="B179" s="24" t="str">
        <f>IFERROR(__xludf.DUMMYFUNCTION("""COMPUTED_VALUE"""),"Lucia Helena e Paulo César S. Oliveira (Orgs.)")</f>
        <v>Lucia Helena e Paulo César S. Oliveira (Orgs.)</v>
      </c>
      <c r="C179" s="24" t="str">
        <f>IFERROR(__xludf.DUMMYFUNCTION("""COMPUTED_VALUE"""),"Rio de Janeiro")</f>
        <v>Rio de Janeiro</v>
      </c>
      <c r="D179" s="24" t="str">
        <f>IFERROR(__xludf.DUMMYFUNCTION("""COMPUTED_VALUE"""),"Editora Caetés")</f>
        <v>Editora Caetés</v>
      </c>
      <c r="E179" s="25">
        <f>IFERROR(__xludf.DUMMYFUNCTION("""COMPUTED_VALUE"""),2016.0)</f>
        <v>2016</v>
      </c>
      <c r="F179" s="24" t="str">
        <f>IFERROR(__xludf.DUMMYFUNCTION("""COMPUTED_VALUE"""),"Literatura brasileira; História e crítica; Literatura comparada")</f>
        <v>Literatura brasileira; História e crítica; Literatura comparada</v>
      </c>
      <c r="G179" s="28" t="str">
        <f>IFERROR(__xludf.DUMMYFUNCTION("""COMPUTED_VALUE"""),"9788586478956")</f>
        <v>9788586478956</v>
      </c>
      <c r="H179" s="29" t="str">
        <f>IFERROR(__xludf.DUMMYFUNCTION("""COMPUTED_VALUE"""),"https://www.eduerj.com/eng/?product=escritores-criticos-e-leitores-fora-do-lugar-contemporaneos-na-cena-da-globalizacao-ebook")</f>
        <v>https://www.eduerj.com/eng/?product=escritores-criticos-e-leitores-fora-do-lugar-contemporaneos-na-cena-da-globalizacao-ebook</v>
      </c>
      <c r="I179" s="24" t="str">
        <f>IFERROR(__xludf.DUMMYFUNCTION("""COMPUTED_VALUE"""),"Lingüística Letras e Artes")</f>
        <v>Lingüística Letras e Artes</v>
      </c>
    </row>
    <row r="180">
      <c r="A180" s="24" t="str">
        <f>IFERROR(__xludf.DUMMYFUNCTION("""COMPUTED_VALUE"""),"Espelho dos melodramas")</f>
        <v>Espelho dos melodramas</v>
      </c>
      <c r="B180" s="24" t="str">
        <f>IFERROR(__xludf.DUMMYFUNCTION("""COMPUTED_VALUE"""),"Haro, Rodrigo de")</f>
        <v>Haro, Rodrigo de</v>
      </c>
      <c r="C180" s="24" t="str">
        <f>IFERROR(__xludf.DUMMYFUNCTION("""COMPUTED_VALUE"""),"Florianópolis")</f>
        <v>Florianópolis</v>
      </c>
      <c r="D180" s="24" t="str">
        <f>IFERROR(__xludf.DUMMYFUNCTION("""COMPUTED_VALUE"""),"Editora da UFSC")</f>
        <v>Editora da UFSC</v>
      </c>
      <c r="E180" s="25">
        <f>IFERROR(__xludf.DUMMYFUNCTION("""COMPUTED_VALUE"""),2011.0)</f>
        <v>2011</v>
      </c>
      <c r="F180" s="24" t="str">
        <f>IFERROR(__xludf.DUMMYFUNCTION("""COMPUTED_VALUE"""),"Literatura brasileira;Poesia catarinense")</f>
        <v>Literatura brasileira;Poesia catarinense</v>
      </c>
      <c r="G180" s="28" t="str">
        <f>IFERROR(__xludf.DUMMYFUNCTION("""COMPUTED_VALUE"""),"9788532805782")</f>
        <v>9788532805782</v>
      </c>
      <c r="H180" s="29" t="str">
        <f>IFERROR(__xludf.DUMMYFUNCTION("""COMPUTED_VALUE"""),"https://repositorio.ufsc.br/handle/123456789/187732")</f>
        <v>https://repositorio.ufsc.br/handle/123456789/187732</v>
      </c>
      <c r="I180" s="24" t="str">
        <f>IFERROR(__xludf.DUMMYFUNCTION("""COMPUTED_VALUE"""),"Lingüística Letras e Artes")</f>
        <v>Lingüística Letras e Artes</v>
      </c>
    </row>
    <row r="181">
      <c r="A181" s="24" t="str">
        <f>IFERROR(__xludf.DUMMYFUNCTION("""COMPUTED_VALUE"""),"Estética de matamatá")</f>
        <v>Estética de matamatá</v>
      </c>
      <c r="B181" s="24" t="str">
        <f>IFERROR(__xludf.DUMMYFUNCTION("""COMPUTED_VALUE"""),"Cláudio Cândido")</f>
        <v>Cláudio Cândido</v>
      </c>
      <c r="C181" s="24" t="str">
        <f>IFERROR(__xludf.DUMMYFUNCTION("""COMPUTED_VALUE"""),"Rio Branco")</f>
        <v>Rio Branco</v>
      </c>
      <c r="D181" s="24" t="str">
        <f>IFERROR(__xludf.DUMMYFUNCTION("""COMPUTED_VALUE"""),"Edufac")</f>
        <v>Edufac</v>
      </c>
      <c r="E181" s="25">
        <f>IFERROR(__xludf.DUMMYFUNCTION("""COMPUTED_VALUE"""),2018.0)</f>
        <v>2018</v>
      </c>
      <c r="F181" s="24" t="str">
        <f>IFERROR(__xludf.DUMMYFUNCTION("""COMPUTED_VALUE"""),"Literatura brasileira – Poemas; Poemas")</f>
        <v>Literatura brasileira – Poemas; Poemas</v>
      </c>
      <c r="G181" s="28" t="str">
        <f>IFERROR(__xludf.DUMMYFUNCTION("""COMPUTED_VALUE"""),"9788582360255")</f>
        <v>9788582360255</v>
      </c>
      <c r="H181" s="29" t="str">
        <f>IFERROR(__xludf.DUMMYFUNCTION("""COMPUTED_VALUE"""),"http://www2.ufac.br/editora/livros/estetica-da-matamata.pdf")</f>
        <v>http://www2.ufac.br/editora/livros/estetica-da-matamata.pdf</v>
      </c>
      <c r="I181" s="24" t="str">
        <f>IFERROR(__xludf.DUMMYFUNCTION("""COMPUTED_VALUE"""),"Lingüística Letras e Artes")</f>
        <v>Lingüística Letras e Artes</v>
      </c>
    </row>
    <row r="182">
      <c r="A182" s="24" t="str">
        <f>IFERROR(__xludf.DUMMYFUNCTION("""COMPUTED_VALUE"""),"Estória de facão e chuva: (trinta e cinco crônicas e duas louvações)")</f>
        <v>Estória de facão e chuva: (trinta e cinco crônicas e duas louvações)</v>
      </c>
      <c r="B182" s="24" t="str">
        <f>IFERROR(__xludf.DUMMYFUNCTION("""COMPUTED_VALUE"""),"Antonio Lopes")</f>
        <v>Antonio Lopes</v>
      </c>
      <c r="C182" s="24" t="str">
        <f>IFERROR(__xludf.DUMMYFUNCTION("""COMPUTED_VALUE"""),"Ilhéus, BA")</f>
        <v>Ilhéus, BA</v>
      </c>
      <c r="D182" s="24" t="str">
        <f>IFERROR(__xludf.DUMMYFUNCTION("""COMPUTED_VALUE"""),"Editus")</f>
        <v>Editus</v>
      </c>
      <c r="E182" s="25">
        <f>IFERROR(__xludf.DUMMYFUNCTION("""COMPUTED_VALUE"""),2005.0)</f>
        <v>2005</v>
      </c>
      <c r="F182" s="24" t="str">
        <f>IFERROR(__xludf.DUMMYFUNCTION("""COMPUTED_VALUE"""),"Crônicas; Crônicas brasileiras; Orações; Discursos brasileiros")</f>
        <v>Crônicas; Crônicas brasileiras; Orações; Discursos brasileiros</v>
      </c>
      <c r="G182" s="28" t="str">
        <f>IFERROR(__xludf.DUMMYFUNCTION("""COMPUTED_VALUE"""),"8574550965")</f>
        <v>8574550965</v>
      </c>
      <c r="H182" s="29" t="str">
        <f>IFERROR(__xludf.DUMMYFUNCTION("""COMPUTED_VALUE"""),"http://www.uesc.br/editora/livrosdigitais2015/estoria_facao_chuva.pdf")</f>
        <v>http://www.uesc.br/editora/livrosdigitais2015/estoria_facao_chuva.pdf</v>
      </c>
      <c r="I182" s="24" t="str">
        <f>IFERROR(__xludf.DUMMYFUNCTION("""COMPUTED_VALUE"""),"Lingüística Letras e Artes")</f>
        <v>Lingüística Letras e Artes</v>
      </c>
    </row>
    <row r="183">
      <c r="A183" s="24" t="str">
        <f>IFERROR(__xludf.DUMMYFUNCTION("""COMPUTED_VALUE"""),"Estrada de luz: a história de Brasileiro de Deus: romance ")</f>
        <v>Estrada de luz: a história de Brasileiro de Deus: romance </v>
      </c>
      <c r="B183" s="24" t="str">
        <f>IFERROR(__xludf.DUMMYFUNCTION("""COMPUTED_VALUE"""),"Alexandre Albagli Oliveira")</f>
        <v>Alexandre Albagli Oliveira</v>
      </c>
      <c r="C183" s="24" t="str">
        <f>IFERROR(__xludf.DUMMYFUNCTION("""COMPUTED_VALUE"""),"Ilhéus, BA")</f>
        <v>Ilhéus, BA</v>
      </c>
      <c r="D183" s="24" t="str">
        <f>IFERROR(__xludf.DUMMYFUNCTION("""COMPUTED_VALUE"""),"Editus")</f>
        <v>Editus</v>
      </c>
      <c r="E183" s="25">
        <f>IFERROR(__xludf.DUMMYFUNCTION("""COMPUTED_VALUE"""),2002.0)</f>
        <v>2002</v>
      </c>
      <c r="F183" s="24" t="str">
        <f>IFERROR(__xludf.DUMMYFUNCTION("""COMPUTED_VALUE"""),"Romance brasileiro")</f>
        <v>Romance brasileiro</v>
      </c>
      <c r="G183" s="28" t="str">
        <f>IFERROR(__xludf.DUMMYFUNCTION("""COMPUTED_VALUE"""),"857455054X")</f>
        <v>857455054X</v>
      </c>
      <c r="H183" s="29" t="str">
        <f>IFERROR(__xludf.DUMMYFUNCTION("""COMPUTED_VALUE"""),"http://www.uesc.br/editora/livrosdigitais2017/estrada_luz.pdf")</f>
        <v>http://www.uesc.br/editora/livrosdigitais2017/estrada_luz.pdf</v>
      </c>
      <c r="I183" s="24" t="str">
        <f>IFERROR(__xludf.DUMMYFUNCTION("""COMPUTED_VALUE"""),"Lingüística Letras e Artes")</f>
        <v>Lingüística Letras e Artes</v>
      </c>
    </row>
    <row r="184">
      <c r="A184" s="24" t="str">
        <f>IFERROR(__xludf.DUMMYFUNCTION("""COMPUTED_VALUE"""),"Estudos africanos: vozes literárias da contemporaneidade (disponível temporariamente)")</f>
        <v>Estudos africanos: vozes literárias da contemporaneidade (disponível temporariamente)</v>
      </c>
      <c r="B184" s="24" t="str">
        <f>IFERROR(__xludf.DUMMYFUNCTION("""COMPUTED_VALUE"""),"Vanessa Riambau Pinheiros; ")</f>
        <v>Vanessa Riambau Pinheiros; </v>
      </c>
      <c r="C184" s="24" t="str">
        <f>IFERROR(__xludf.DUMMYFUNCTION("""COMPUTED_VALUE"""),"João Pessoa")</f>
        <v>João Pessoa</v>
      </c>
      <c r="D184" s="24" t="str">
        <f>IFERROR(__xludf.DUMMYFUNCTION("""COMPUTED_VALUE"""),"Editora da UFPB")</f>
        <v>Editora da UFPB</v>
      </c>
      <c r="E184" s="25">
        <f>IFERROR(__xludf.DUMMYFUNCTION("""COMPUTED_VALUE"""),2019.0)</f>
        <v>2019</v>
      </c>
      <c r="F184" s="24" t="str">
        <f>IFERROR(__xludf.DUMMYFUNCTION("""COMPUTED_VALUE"""),"Literatura - Africana. Estudos - Africanos. Poesia - Moçambique")</f>
        <v>Literatura - Africana. Estudos - Africanos. Poesia - Moçambique</v>
      </c>
      <c r="G184" s="28" t="str">
        <f>IFERROR(__xludf.DUMMYFUNCTION("""COMPUTED_VALUE"""),"9788523714338")</f>
        <v>9788523714338</v>
      </c>
      <c r="H184" s="29" t="str">
        <f>IFERROR(__xludf.DUMMYFUNCTION("""COMPUTED_VALUE"""),"http://www.editora.ufpb.br/sistema/press5/index.php/UFPB/catalog/book/313")</f>
        <v>http://www.editora.ufpb.br/sistema/press5/index.php/UFPB/catalog/book/313</v>
      </c>
      <c r="I184" s="24" t="str">
        <f>IFERROR(__xludf.DUMMYFUNCTION("""COMPUTED_VALUE"""),"Lingüística Letras e Artes")</f>
        <v>Lingüística Letras e Artes</v>
      </c>
    </row>
    <row r="185">
      <c r="A185" s="24" t="str">
        <f>IFERROR(__xludf.DUMMYFUNCTION("""COMPUTED_VALUE"""),"Estudos comparados de literaturas de língua portuguesa")</f>
        <v>Estudos comparados de literaturas de língua portuguesa</v>
      </c>
      <c r="B185" s="24" t="str">
        <f>IFERROR(__xludf.DUMMYFUNCTION("""COMPUTED_VALUE"""),"Organizadora Sandra Maria Pereira do Sacramento. ")</f>
        <v>Organizadora Sandra Maria Pereira do Sacramento. </v>
      </c>
      <c r="C185" s="24" t="str">
        <f>IFERROR(__xludf.DUMMYFUNCTION("""COMPUTED_VALUE"""),"Ilhéus, BA")</f>
        <v>Ilhéus, BA</v>
      </c>
      <c r="D185" s="24" t="str">
        <f>IFERROR(__xludf.DUMMYFUNCTION("""COMPUTED_VALUE"""),"Editus")</f>
        <v>Editus</v>
      </c>
      <c r="E185" s="25">
        <f>IFERROR(__xludf.DUMMYFUNCTION("""COMPUTED_VALUE"""),2006.0)</f>
        <v>2006</v>
      </c>
      <c r="F185" s="24" t="str">
        <f>IFERROR(__xludf.DUMMYFUNCTION("""COMPUTED_VALUE"""),"Literatura brasileira – Estudos comparados; Literatura brasileira – Crítica e interpretação")</f>
        <v>Literatura brasileira – Estudos comparados; Literatura brasileira – Crítica e interpretação</v>
      </c>
      <c r="G185" s="28" t="str">
        <f>IFERROR(__xludf.DUMMYFUNCTION("""COMPUTED_VALUE"""),"8574551147")</f>
        <v>8574551147</v>
      </c>
      <c r="H185" s="29" t="str">
        <f>IFERROR(__xludf.DUMMYFUNCTION("""COMPUTED_VALUE"""),"http://www.uesc.br/editora/livrosdigitais_20140513/caderno_de_aula_7_estudos%20comparados.pdf")</f>
        <v>http://www.uesc.br/editora/livrosdigitais_20140513/caderno_de_aula_7_estudos%20comparados.pdf</v>
      </c>
      <c r="I185" s="24" t="str">
        <f>IFERROR(__xludf.DUMMYFUNCTION("""COMPUTED_VALUE"""),"Lingüística Letras e Artes")</f>
        <v>Lingüística Letras e Artes</v>
      </c>
    </row>
    <row r="186">
      <c r="A186" s="24" t="str">
        <f>IFERROR(__xludf.DUMMYFUNCTION("""COMPUTED_VALUE"""),"Estudos culturais e contemporaneidade: literatura, história e memória ")</f>
        <v>Estudos culturais e contemporaneidade: literatura, história e memória </v>
      </c>
      <c r="B186" s="24" t="str">
        <f>IFERROR(__xludf.DUMMYFUNCTION("""COMPUTED_VALUE"""),"Alexandra Santos Pinheiro; Paulo Bungart Neto organizadores.")</f>
        <v>Alexandra Santos Pinheiro; Paulo Bungart Neto organizadores.</v>
      </c>
      <c r="C186" s="24" t="str">
        <f>IFERROR(__xludf.DUMMYFUNCTION("""COMPUTED_VALUE"""),"Dourados, MS")</f>
        <v>Dourados, MS</v>
      </c>
      <c r="D186" s="24" t="str">
        <f>IFERROR(__xludf.DUMMYFUNCTION("""COMPUTED_VALUE"""),"Ed. UFGD")</f>
        <v>Ed. UFGD</v>
      </c>
      <c r="E186" s="25">
        <f>IFERROR(__xludf.DUMMYFUNCTION("""COMPUTED_VALUE"""),2012.0)</f>
        <v>2012</v>
      </c>
      <c r="F186" s="24" t="str">
        <f>IFERROR(__xludf.DUMMYFUNCTION("""COMPUTED_VALUE"""),"Literatura comparada; Literatura brasileira; Literatura – História e crítica")</f>
        <v>Literatura comparada; Literatura brasileira; Literatura – História e crítica</v>
      </c>
      <c r="G186" s="28" t="str">
        <f>IFERROR(__xludf.DUMMYFUNCTION("""COMPUTED_VALUE"""),"9788561228996")</f>
        <v>9788561228996</v>
      </c>
      <c r="H186" s="29" t="str">
        <f>IFERROR(__xludf.DUMMYFUNCTION("""COMPUTED_VALUE"""),"http://omp.ufgd.edu.br/omp/index.php/livrosabertos/catalog/view/101/240/521-1")</f>
        <v>http://omp.ufgd.edu.br/omp/index.php/livrosabertos/catalog/view/101/240/521-1</v>
      </c>
      <c r="I186" s="24" t="str">
        <f>IFERROR(__xludf.DUMMYFUNCTION("""COMPUTED_VALUE"""),"Lingüística Letras e Artes")</f>
        <v>Lingüística Letras e Artes</v>
      </c>
    </row>
    <row r="187">
      <c r="A187" s="24" t="str">
        <f>IFERROR(__xludf.DUMMYFUNCTION("""COMPUTED_VALUE"""),"Estudos de literatura: diálogos, perspectivas e tendências ")</f>
        <v>Estudos de literatura: diálogos, perspectivas e tendências </v>
      </c>
      <c r="B187" s="24" t="str">
        <f>IFERROR(__xludf.DUMMYFUNCTION("""COMPUTED_VALUE"""),"Adriana Lins Precioso; Henrique Roriz Aarestrup Alves; Rosana Rodrigues da Silva (org.)")</f>
        <v>Adriana Lins Precioso; Henrique Roriz Aarestrup Alves; Rosana Rodrigues da Silva (org.)</v>
      </c>
      <c r="C187" s="24" t="str">
        <f>IFERROR(__xludf.DUMMYFUNCTION("""COMPUTED_VALUE"""),"Cáceres")</f>
        <v>Cáceres</v>
      </c>
      <c r="D187" s="24" t="str">
        <f>IFERROR(__xludf.DUMMYFUNCTION("""COMPUTED_VALUE"""),"UNEMAT")</f>
        <v>UNEMAT</v>
      </c>
      <c r="E187" s="25">
        <f>IFERROR(__xludf.DUMMYFUNCTION("""COMPUTED_VALUE"""),2015.0)</f>
        <v>2015</v>
      </c>
      <c r="F187" s="24" t="str">
        <f>IFERROR(__xludf.DUMMYFUNCTION("""COMPUTED_VALUE"""),"Literatura Brasileira; Literatura Comparada; Letras")</f>
        <v>Literatura Brasileira; Literatura Comparada; Letras</v>
      </c>
      <c r="G187" s="28" t="str">
        <f>IFERROR(__xludf.DUMMYFUNCTION("""COMPUTED_VALUE"""),"9788579111464")</f>
        <v>9788579111464</v>
      </c>
      <c r="H187" s="29" t="str">
        <f>IFERROR(__xludf.DUMMYFUNCTION("""COMPUTED_VALUE"""),"http://www.unemat.br/reitoria/editora/downloads/eletronico/ebook_estudos_literarios.pdf")</f>
        <v>http://www.unemat.br/reitoria/editora/downloads/eletronico/ebook_estudos_literarios.pdf</v>
      </c>
      <c r="I187" s="24" t="str">
        <f>IFERROR(__xludf.DUMMYFUNCTION("""COMPUTED_VALUE"""),"Lingüística Letras e Artes")</f>
        <v>Lingüística Letras e Artes</v>
      </c>
    </row>
    <row r="188">
      <c r="A188" s="24" t="str">
        <f>IFERROR(__xludf.DUMMYFUNCTION("""COMPUTED_VALUE"""),"Estudos em Literatura Popular I")</f>
        <v>Estudos em Literatura Popular I</v>
      </c>
      <c r="B188" s="24" t="str">
        <f>IFERROR(__xludf.DUMMYFUNCTION("""COMPUTED_VALUE"""),"Maria de Fátima Barbosa de Mesquita Batista; Francisca Neuma Fechine Borges; Evangelina Maria Brito de Faria; Ana Cristina de Souza Aldrigue (org.)")</f>
        <v>Maria de Fátima Barbosa de Mesquita Batista; Francisca Neuma Fechine Borges; Evangelina Maria Brito de Faria; Ana Cristina de Souza Aldrigue (org.)</v>
      </c>
      <c r="C188" s="24" t="str">
        <f>IFERROR(__xludf.DUMMYFUNCTION("""COMPUTED_VALUE"""),"Campina Grande")</f>
        <v>Campina Grande</v>
      </c>
      <c r="D188" s="24" t="str">
        <f>IFERROR(__xludf.DUMMYFUNCTION("""COMPUTED_VALUE"""),"EDUEPB")</f>
        <v>EDUEPB</v>
      </c>
      <c r="E188" s="25">
        <f>IFERROR(__xludf.DUMMYFUNCTION("""COMPUTED_VALUE"""),2019.0)</f>
        <v>2019</v>
      </c>
      <c r="F188" s="24" t="str">
        <f>IFERROR(__xludf.DUMMYFUNCTION("""COMPUTED_VALUE"""),"Literatura de cordel. Literatura popular. Poesia Oral tradicional. Conto popular. Literatura oral brasileira - História e crítica")</f>
        <v>Literatura de cordel. Literatura popular. Poesia Oral tradicional. Conto popular. Literatura oral brasileira - História e crítica</v>
      </c>
      <c r="G188" s="28" t="str">
        <f>IFERROR(__xludf.DUMMYFUNCTION("""COMPUTED_VALUE"""),"9788578795122")</f>
        <v>9788578795122</v>
      </c>
      <c r="H188" s="29" t="str">
        <f>IFERROR(__xludf.DUMMYFUNCTION("""COMPUTED_VALUE"""),"http://eduepb.uepb.edu.br/download/literatura-popular-i/?wpdmdl=1096&amp;#038;masterkey=5f01318e501db")</f>
        <v>http://eduepb.uepb.edu.br/download/literatura-popular-i/?wpdmdl=1096&amp;#038;masterkey=5f01318e501db</v>
      </c>
      <c r="I188" s="24" t="str">
        <f>IFERROR(__xludf.DUMMYFUNCTION("""COMPUTED_VALUE"""),"Lingüística Letras e Artes")</f>
        <v>Lingüística Letras e Artes</v>
      </c>
    </row>
    <row r="189">
      <c r="A189" s="24" t="str">
        <f>IFERROR(__xludf.DUMMYFUNCTION("""COMPUTED_VALUE"""),"Estudos em Literatura Popular II")</f>
        <v>Estudos em Literatura Popular II</v>
      </c>
      <c r="B189" s="24" t="str">
        <f>IFERROR(__xludf.DUMMYFUNCTION("""COMPUTED_VALUE"""),"Maria de Fátima Barbosa de Mesquita Batista; Maria Nazareth de Lima Arrais; Maria Elizabeth Baltar Carneiro de Albuquerque; Raquel Barbosa de Mesquita Batista (org.)")</f>
        <v>Maria de Fátima Barbosa de Mesquita Batista; Maria Nazareth de Lima Arrais; Maria Elizabeth Baltar Carneiro de Albuquerque; Raquel Barbosa de Mesquita Batista (org.)</v>
      </c>
      <c r="C189" s="24" t="str">
        <f>IFERROR(__xludf.DUMMYFUNCTION("""COMPUTED_VALUE"""),"Campina Grande")</f>
        <v>Campina Grande</v>
      </c>
      <c r="D189" s="24" t="str">
        <f>IFERROR(__xludf.DUMMYFUNCTION("""COMPUTED_VALUE"""),"EDUEPB")</f>
        <v>EDUEPB</v>
      </c>
      <c r="E189" s="25">
        <f>IFERROR(__xludf.DUMMYFUNCTION("""COMPUTED_VALUE"""),2020.0)</f>
        <v>2020</v>
      </c>
      <c r="F189" s="24" t="str">
        <f>IFERROR(__xludf.DUMMYFUNCTION("""COMPUTED_VALUE"""),"Literatura de cordel. Literatura popular. Poesia Oral tradicional. Conto popular. Literatura Oral brasileira - História e crítica")</f>
        <v>Literatura de cordel. Literatura popular. Poesia Oral tradicional. Conto popular. Literatura Oral brasileira - História e crítica</v>
      </c>
      <c r="G189" s="28" t="str">
        <f>IFERROR(__xludf.DUMMYFUNCTION("""COMPUTED_VALUE"""),"9788578795207")</f>
        <v>9788578795207</v>
      </c>
      <c r="H189" s="29" t="str">
        <f>IFERROR(__xludf.DUMMYFUNCTION("""COMPUTED_VALUE"""),"http://eduepb.uepb.edu.br/download/estudos-literarios-ii/?wpdmdl=1094&amp;#038;masterkey=5f0130ad407a1")</f>
        <v>http://eduepb.uepb.edu.br/download/estudos-literarios-ii/?wpdmdl=1094&amp;#038;masterkey=5f0130ad407a1</v>
      </c>
      <c r="I189" s="24" t="str">
        <f>IFERROR(__xludf.DUMMYFUNCTION("""COMPUTED_VALUE"""),"Lingüística Letras e Artes")</f>
        <v>Lingüística Letras e Artes</v>
      </c>
    </row>
    <row r="190">
      <c r="A190" s="24" t="str">
        <f>IFERROR(__xludf.DUMMYFUNCTION("""COMPUTED_VALUE"""),"Estudos linguísticos e literários")</f>
        <v>Estudos linguísticos e literários</v>
      </c>
      <c r="B190" s="24" t="str">
        <f>IFERROR(__xludf.DUMMYFUNCTION("""COMPUTED_VALUE"""),"Eliabe Procópio; Felipe Thiago Cordeiro da Rocha (org.)")</f>
        <v>Eliabe Procópio; Felipe Thiago Cordeiro da Rocha (org.)</v>
      </c>
      <c r="C190" s="24" t="str">
        <f>IFERROR(__xludf.DUMMYFUNCTION("""COMPUTED_VALUE"""),"Boa Vista ")</f>
        <v>Boa Vista </v>
      </c>
      <c r="D190" s="24" t="str">
        <f>IFERROR(__xludf.DUMMYFUNCTION("""COMPUTED_VALUE"""),"UFRR")</f>
        <v>UFRR</v>
      </c>
      <c r="E190" s="25">
        <f>IFERROR(__xludf.DUMMYFUNCTION("""COMPUTED_VALUE"""),2019.0)</f>
        <v>2019</v>
      </c>
      <c r="F190" s="24" t="str">
        <f>IFERROR(__xludf.DUMMYFUNCTION("""COMPUTED_VALUE"""),"Linguagem; Linguística; Literatura; Língua portuguesa")</f>
        <v>Linguagem; Linguística; Literatura; Língua portuguesa</v>
      </c>
      <c r="G190" s="28" t="str">
        <f>IFERROR(__xludf.DUMMYFUNCTION("""COMPUTED_VALUE"""),"9788582881941")</f>
        <v>9788582881941</v>
      </c>
      <c r="H190" s="29" t="str">
        <f>IFERROR(__xludf.DUMMYFUNCTION("""COMPUTED_VALUE"""),"http://ufrr.br/editora/index.php/editais?download=410")</f>
        <v>http://ufrr.br/editora/index.php/editais?download=410</v>
      </c>
      <c r="I190" s="24" t="str">
        <f>IFERROR(__xludf.DUMMYFUNCTION("""COMPUTED_VALUE"""),"Lingüística Letras e Artes")</f>
        <v>Lingüística Letras e Artes</v>
      </c>
    </row>
    <row r="191">
      <c r="A191" s="24" t="str">
        <f>IFERROR(__xludf.DUMMYFUNCTION("""COMPUTED_VALUE"""),"Estudos sobre aquisição da linguagem escrita")</f>
        <v>Estudos sobre aquisição da linguagem escrita</v>
      </c>
      <c r="B191" s="24" t="str">
        <f>IFERROR(__xludf.DUMMYFUNCTION("""COMPUTED_VALUE"""),"Miranda, Ana Ruth Moresco; Cunha, Ana Paula Nobre da; Donicht, Gabriele")</f>
        <v>Miranda, Ana Ruth Moresco; Cunha, Ana Paula Nobre da; Donicht, Gabriele</v>
      </c>
      <c r="C191" s="24" t="str">
        <f>IFERROR(__xludf.DUMMYFUNCTION("""COMPUTED_VALUE"""),"Pelotas")</f>
        <v>Pelotas</v>
      </c>
      <c r="D191" s="24" t="str">
        <f>IFERROR(__xludf.DUMMYFUNCTION("""COMPUTED_VALUE"""),"UFPel")</f>
        <v>UFPel</v>
      </c>
      <c r="E191" s="25">
        <f>IFERROR(__xludf.DUMMYFUNCTION("""COMPUTED_VALUE"""),2019.0)</f>
        <v>2019</v>
      </c>
      <c r="F191" s="24" t="str">
        <f>IFERROR(__xludf.DUMMYFUNCTION("""COMPUTED_VALUE"""),"Educação; Alfabetização; Letramento; Aquisição da escrita")</f>
        <v>Educação; Alfabetização; Letramento; Aquisição da escrita</v>
      </c>
      <c r="G191" s="28" t="str">
        <f>IFERROR(__xludf.DUMMYFUNCTION("""COMPUTED_VALUE"""),"9788551700358")</f>
        <v>9788551700358</v>
      </c>
      <c r="H191" s="29" t="str">
        <f>IFERROR(__xludf.DUMMYFUNCTION("""COMPUTED_VALUE"""),"http://guaiaca.ufpel.edu.br/bitstream/prefix/4391/1/Livro_Estudos_sobre_Aquisicao_Linguagem_Escrita_VERS%c3%83O_DIGITAL.pdf")</f>
        <v>http://guaiaca.ufpel.edu.br/bitstream/prefix/4391/1/Livro_Estudos_sobre_Aquisicao_Linguagem_Escrita_VERS%c3%83O_DIGITAL.pdf</v>
      </c>
      <c r="I191" s="24" t="str">
        <f>IFERROR(__xludf.DUMMYFUNCTION("""COMPUTED_VALUE"""),"Lingüística Letras e Artes")</f>
        <v>Lingüística Letras e Artes</v>
      </c>
    </row>
    <row r="192">
      <c r="A192" s="24" t="str">
        <f>IFERROR(__xludf.DUMMYFUNCTION("""COMPUTED_VALUE"""),"Estudos sobre Língua, Literatura e Ensino")</f>
        <v>Estudos sobre Língua, Literatura e Ensino</v>
      </c>
      <c r="B192" s="24" t="str">
        <f>IFERROR(__xludf.DUMMYFUNCTION("""COMPUTED_VALUE"""),"Adeilson Pinheiro Sedrins, Rafael Bezerra de Lima, Emanuelle C. M. de M. Albuquerque e Eudes da Silva Santos (org.)")</f>
        <v>Adeilson Pinheiro Sedrins, Rafael Bezerra de Lima, Emanuelle C. M. de M. Albuquerque e Eudes da Silva Santos (org.)</v>
      </c>
      <c r="C192" s="24" t="str">
        <f>IFERROR(__xludf.DUMMYFUNCTION("""COMPUTED_VALUE"""),"Recife")</f>
        <v>Recife</v>
      </c>
      <c r="D192" s="24" t="str">
        <f>IFERROR(__xludf.DUMMYFUNCTION("""COMPUTED_VALUE"""),"Editora Universitária da UFRPE")</f>
        <v>Editora Universitária da UFRPE</v>
      </c>
      <c r="E192" s="25">
        <f>IFERROR(__xludf.DUMMYFUNCTION("""COMPUTED_VALUE"""),2019.0)</f>
        <v>2019</v>
      </c>
      <c r="F192" s="24" t="str">
        <f>IFERROR(__xludf.DUMMYFUNCTION("""COMPUTED_VALUE"""),"Linguística; Literatura; Análise do discurso; Leitura")</f>
        <v>Linguística; Literatura; Análise do discurso; Leitura</v>
      </c>
      <c r="G192" s="28" t="str">
        <f>IFERROR(__xludf.DUMMYFUNCTION("""COMPUTED_VALUE"""),"9786586547054")</f>
        <v>9786586547054</v>
      </c>
      <c r="H192" s="29" t="str">
        <f>IFERROR(__xludf.DUMMYFUNCTION("""COMPUTED_VALUE"""),"https://drive.google.com/file/d/18Qu8-dgV89zrAfji7cqYyfpP42DnDgWF/view?usp=sharing ")</f>
        <v>https://drive.google.com/file/d/18Qu8-dgV89zrAfji7cqYyfpP42DnDgWF/view?usp=sharing </v>
      </c>
      <c r="I192" s="24" t="str">
        <f>IFERROR(__xludf.DUMMYFUNCTION("""COMPUTED_VALUE"""),"Lingüística Letras e Artes")</f>
        <v>Lingüística Letras e Artes</v>
      </c>
    </row>
    <row r="193">
      <c r="A193" s="24" t="str">
        <f>IFERROR(__xludf.DUMMYFUNCTION("""COMPUTED_VALUE"""),"Estudos sobre o Ensino de Línguas e Literaturas na Educação de Jovens e Adultos no Amapá (EJA-AP) ")</f>
        <v>Estudos sobre o Ensino de Línguas e Literaturas na Educação de Jovens e Adultos no Amapá (EJA-AP) </v>
      </c>
      <c r="B193" s="24" t="str">
        <f>IFERROR(__xludf.DUMMYFUNCTION("""COMPUTED_VALUE"""),"Marcelo Lachat, Marcos Paulo; Torres Pereira, Mário Martins (org.)")</f>
        <v>Marcelo Lachat, Marcos Paulo; Torres Pereira, Mário Martins (org.)</v>
      </c>
      <c r="C193" s="24" t="str">
        <f>IFERROR(__xludf.DUMMYFUNCTION("""COMPUTED_VALUE"""),"Macapá")</f>
        <v>Macapá</v>
      </c>
      <c r="D193" s="24" t="str">
        <f>IFERROR(__xludf.DUMMYFUNCTION("""COMPUTED_VALUE"""),"UNIFAP")</f>
        <v>UNIFAP</v>
      </c>
      <c r="E193" s="25">
        <f>IFERROR(__xludf.DUMMYFUNCTION("""COMPUTED_VALUE"""),2017.0)</f>
        <v>2017</v>
      </c>
      <c r="F193" s="24" t="str">
        <f>IFERROR(__xludf.DUMMYFUNCTION("""COMPUTED_VALUE"""),"Línguas; Literaturas; Educação de Jovens e Adultos")</f>
        <v>Línguas; Literaturas; Educação de Jovens e Adultos</v>
      </c>
      <c r="G193" s="28" t="str">
        <f>IFERROR(__xludf.DUMMYFUNCTION("""COMPUTED_VALUE"""),"9788562359910")</f>
        <v>9788562359910</v>
      </c>
      <c r="H193" s="29" t="str">
        <f>IFERROR(__xludf.DUMMYFUNCTION("""COMPUTED_VALUE"""),"https://www2.unifap.br/editora/files/2014/12/E-book_Promad.pdf")</f>
        <v>https://www2.unifap.br/editora/files/2014/12/E-book_Promad.pdf</v>
      </c>
      <c r="I193" s="24" t="str">
        <f>IFERROR(__xludf.DUMMYFUNCTION("""COMPUTED_VALUE"""),"Lingüística Letras e Artes")</f>
        <v>Lingüística Letras e Artes</v>
      </c>
    </row>
    <row r="194">
      <c r="A194" s="24" t="str">
        <f>IFERROR(__xludf.DUMMYFUNCTION("""COMPUTED_VALUE"""),"Estudos sobre o romanceiro tradicional")</f>
        <v>Estudos sobre o romanceiro tradicional</v>
      </c>
      <c r="B194" s="24" t="str">
        <f>IFERROR(__xludf.DUMMYFUNCTION("""COMPUTED_VALUE"""),"Braulio do Nascimento; ")</f>
        <v>Braulio do Nascimento; </v>
      </c>
      <c r="C194" s="24" t="str">
        <f>IFERROR(__xludf.DUMMYFUNCTION("""COMPUTED_VALUE"""),"Campina Grande")</f>
        <v>Campina Grande</v>
      </c>
      <c r="D194" s="24" t="str">
        <f>IFERROR(__xludf.DUMMYFUNCTION("""COMPUTED_VALUE"""),"EDUEPB")</f>
        <v>EDUEPB</v>
      </c>
      <c r="E194" s="25">
        <f>IFERROR(__xludf.DUMMYFUNCTION("""COMPUTED_VALUE"""),2020.0)</f>
        <v>2020</v>
      </c>
      <c r="F194" s="24" t="str">
        <f>IFERROR(__xludf.DUMMYFUNCTION("""COMPUTED_VALUE"""),"Literatura popular. Literatura Oral Brasileira - História e crítica. Literatura brasileira - Ensaios")</f>
        <v>Literatura popular. Literatura Oral Brasileira - História e crítica. Literatura brasileira - Ensaios</v>
      </c>
      <c r="G194" s="28" t="str">
        <f>IFERROR(__xludf.DUMMYFUNCTION("""COMPUTED_VALUE"""),"9788578795191")</f>
        <v>9788578795191</v>
      </c>
      <c r="H194" s="29" t="str">
        <f>IFERROR(__xludf.DUMMYFUNCTION("""COMPUTED_VALUE"""),"http://eduepb.uepb.edu.br/download/romanceiro-tradicional/?wpdmdl=1091&amp;#038;masterkey=5f0130350c9d2")</f>
        <v>http://eduepb.uepb.edu.br/download/romanceiro-tradicional/?wpdmdl=1091&amp;#038;masterkey=5f0130350c9d2</v>
      </c>
      <c r="I194" s="24" t="str">
        <f>IFERROR(__xludf.DUMMYFUNCTION("""COMPUTED_VALUE"""),"Lingüística Letras e Artes")</f>
        <v>Lingüística Letras e Artes</v>
      </c>
    </row>
    <row r="195">
      <c r="A195" s="24" t="str">
        <f>IFERROR(__xludf.DUMMYFUNCTION("""COMPUTED_VALUE"""),"Eu no mundo")</f>
        <v>Eu no mundo</v>
      </c>
      <c r="B195" s="24" t="str">
        <f>IFERROR(__xludf.DUMMYFUNCTION("""COMPUTED_VALUE"""),"Renata Angélica Pozzetti (org.)")</f>
        <v>Renata Angélica Pozzetti (org.)</v>
      </c>
      <c r="C195" s="24" t="str">
        <f>IFERROR(__xludf.DUMMYFUNCTION("""COMPUTED_VALUE"""),"São Bernardo do Campo, SP")</f>
        <v>São Bernardo do Campo, SP</v>
      </c>
      <c r="D195" s="24" t="str">
        <f>IFERROR(__xludf.DUMMYFUNCTION("""COMPUTED_VALUE"""),"UMESP")</f>
        <v>UMESP</v>
      </c>
      <c r="E195" s="25">
        <f>IFERROR(__xludf.DUMMYFUNCTION("""COMPUTED_VALUE"""),2015.0)</f>
        <v>2015</v>
      </c>
      <c r="F195" s="24" t="str">
        <f>IFERROR(__xludf.DUMMYFUNCTION("""COMPUTED_VALUE"""),"Literatura infantojuvenil. Poemas")</f>
        <v>Literatura infantojuvenil. Poemas</v>
      </c>
      <c r="G195" s="28" t="str">
        <f>IFERROR(__xludf.DUMMYFUNCTION("""COMPUTED_VALUE"""),"9788578143145")</f>
        <v>9788578143145</v>
      </c>
      <c r="H195" s="29" t="str">
        <f>IFERROR(__xludf.DUMMYFUNCTION("""COMPUTED_VALUE"""),"http://editora.metodista.br/livros-gratis/eeeunomundo.pdf/at_download/file")</f>
        <v>http://editora.metodista.br/livros-gratis/eeeunomundo.pdf/at_download/file</v>
      </c>
      <c r="I195" s="24" t="str">
        <f>IFERROR(__xludf.DUMMYFUNCTION("""COMPUTED_VALUE"""),"Lingüística Letras e Artes")</f>
        <v>Lingüística Letras e Artes</v>
      </c>
    </row>
    <row r="196">
      <c r="A196" s="24" t="str">
        <f>IFERROR(__xludf.DUMMYFUNCTION("""COMPUTED_VALUE"""),"Euclides para jovens leitores")</f>
        <v>Euclides para jovens leitores</v>
      </c>
      <c r="B196" s="24" t="str">
        <f>IFERROR(__xludf.DUMMYFUNCTION("""COMPUTED_VALUE"""),"Ivo Barbieri, Maria Aparecida Andrade Salgueiro e Nelson Rodrigues Filho (organização)")</f>
        <v>Ivo Barbieri, Maria Aparecida Andrade Salgueiro e Nelson Rodrigues Filho (organização)</v>
      </c>
      <c r="C196" s="24" t="str">
        <f>IFERROR(__xludf.DUMMYFUNCTION("""COMPUTED_VALUE"""),"Rio de Janeiro")</f>
        <v>Rio de Janeiro</v>
      </c>
      <c r="D196" s="24" t="str">
        <f>IFERROR(__xludf.DUMMYFUNCTION("""COMPUTED_VALUE"""),"EdUERJ")</f>
        <v>EdUERJ</v>
      </c>
      <c r="E196" s="25">
        <f>IFERROR(__xludf.DUMMYFUNCTION("""COMPUTED_VALUE"""),2008.0)</f>
        <v>2008</v>
      </c>
      <c r="F196" s="24" t="str">
        <f>IFERROR(__xludf.DUMMYFUNCTION("""COMPUTED_VALUE"""),"Euclides da Cunha; Literatura; Literatura para jovens")</f>
        <v>Euclides da Cunha; Literatura; Literatura para jovens</v>
      </c>
      <c r="G196" s="28" t="str">
        <f>IFERROR(__xludf.DUMMYFUNCTION("""COMPUTED_VALUE"""),"9788575111598")</f>
        <v>9788575111598</v>
      </c>
      <c r="H196" s="29" t="str">
        <f>IFERROR(__xludf.DUMMYFUNCTION("""COMPUTED_VALUE"""),"https://www.eduerj.com/eng/?product=euclides-para-jovens-leitores-ebook")</f>
        <v>https://www.eduerj.com/eng/?product=euclides-para-jovens-leitores-ebook</v>
      </c>
      <c r="I196" s="24" t="str">
        <f>IFERROR(__xludf.DUMMYFUNCTION("""COMPUTED_VALUE"""),"Lingüística Letras e Artes")</f>
        <v>Lingüística Letras e Artes</v>
      </c>
    </row>
    <row r="197">
      <c r="A197" s="24" t="str">
        <f>IFERROR(__xludf.DUMMYFUNCTION("""COMPUTED_VALUE"""),"Experiência do limite: Ana Cristina Cesar e Sylvia Plath entre escritos e vividos ")</f>
        <v>Experiência do limite: Ana Cristina Cesar e Sylvia Plath entre escritos e vividos </v>
      </c>
      <c r="B197" s="24" t="str">
        <f>IFERROR(__xludf.DUMMYFUNCTION("""COMPUTED_VALUE"""),"Anélia Montechiari Pietrani ")</f>
        <v>Anélia Montechiari Pietrani </v>
      </c>
      <c r="C197" s="24" t="str">
        <f>IFERROR(__xludf.DUMMYFUNCTION("""COMPUTED_VALUE"""),"Niterói, RJ")</f>
        <v>Niterói, RJ</v>
      </c>
      <c r="D197" s="24" t="str">
        <f>IFERROR(__xludf.DUMMYFUNCTION("""COMPUTED_VALUE"""),"EdUFF")</f>
        <v>EdUFF</v>
      </c>
      <c r="E197" s="25">
        <f>IFERROR(__xludf.DUMMYFUNCTION("""COMPUTED_VALUE"""),2009.0)</f>
        <v>2009</v>
      </c>
      <c r="F197" s="24" t="str">
        <f>IFERROR(__xludf.DUMMYFUNCTION("""COMPUTED_VALUE"""),"Literatura; Cultura")</f>
        <v>Literatura; Cultura</v>
      </c>
      <c r="G197" s="28" t="str">
        <f>IFERROR(__xludf.DUMMYFUNCTION("""COMPUTED_VALUE"""),"97885228046960")</f>
        <v>97885228046960</v>
      </c>
      <c r="H197" s="29" t="str">
        <f>IFERROR(__xludf.DUMMYFUNCTION("""COMPUTED_VALUE"""),"http://www.eduff.uff.br/ebooks/Experiencia-do-limite.pdf")</f>
        <v>http://www.eduff.uff.br/ebooks/Experiencia-do-limite.pdf</v>
      </c>
      <c r="I197" s="24" t="str">
        <f>IFERROR(__xludf.DUMMYFUNCTION("""COMPUTED_VALUE"""),"Lingüística Letras e Artes")</f>
        <v>Lingüística Letras e Artes</v>
      </c>
    </row>
    <row r="198">
      <c r="A198" s="24" t="str">
        <f>IFERROR(__xludf.DUMMYFUNCTION("""COMPUTED_VALUE"""),"Experiências e reflexões sobre a educação de línguas adicionais")</f>
        <v>Experiências e reflexões sobre a educação de línguas adicionais</v>
      </c>
      <c r="B198" s="24" t="str">
        <f>IFERROR(__xludf.DUMMYFUNCTION("""COMPUTED_VALUE"""),"organizadores; Mário Martins, Martha Zoni ")</f>
        <v>organizadores; Mário Martins, Martha Zoni </v>
      </c>
      <c r="C198" s="24" t="str">
        <f>IFERROR(__xludf.DUMMYFUNCTION("""COMPUTED_VALUE"""),"Macapá")</f>
        <v>Macapá</v>
      </c>
      <c r="D198" s="24" t="str">
        <f>IFERROR(__xludf.DUMMYFUNCTION("""COMPUTED_VALUE"""),"UNIFAP")</f>
        <v>UNIFAP</v>
      </c>
      <c r="E198" s="25">
        <f>IFERROR(__xludf.DUMMYFUNCTION("""COMPUTED_VALUE"""),2016.0)</f>
        <v>2016</v>
      </c>
      <c r="F198" s="24" t="str">
        <f>IFERROR(__xludf.DUMMYFUNCTION("""COMPUTED_VALUE"""),"Linguagem e línguas – Estudo e ensino; Linguagem e línguas - Estrangeirismos; Professores de línguas")</f>
        <v>Linguagem e línguas – Estudo e ensino; Linguagem e línguas - Estrangeirismos; Professores de línguas</v>
      </c>
      <c r="G198" s="28" t="str">
        <f>IFERROR(__xludf.DUMMYFUNCTION("""COMPUTED_VALUE"""),"9788562359439")</f>
        <v>9788562359439</v>
      </c>
      <c r="H198" s="29" t="str">
        <f>IFERROR(__xludf.DUMMYFUNCTION("""COMPUTED_VALUE"""),"https://www2.unifap.br/editora/files/2014/12/Experi%c3%aancias-e-reflex%c3%b5es-sobre-a-educa%c3%a7%c3%a3o-de-l%c3%adnguas-adicionais-V%c3%a1rios-autores-2016.pdf")</f>
        <v>https://www2.unifap.br/editora/files/2014/12/Experi%c3%aancias-e-reflex%c3%b5es-sobre-a-educa%c3%a7%c3%a3o-de-l%c3%adnguas-adicionais-V%c3%a1rios-autores-2016.pdf</v>
      </c>
      <c r="I198" s="24" t="str">
        <f>IFERROR(__xludf.DUMMYFUNCTION("""COMPUTED_VALUE"""),"Lingüística Letras e Artes")</f>
        <v>Lingüística Letras e Artes</v>
      </c>
    </row>
    <row r="199">
      <c r="A199" s="24" t="str">
        <f>IFERROR(__xludf.DUMMYFUNCTION("""COMPUTED_VALUE"""),"Expressão poética de Valdelice Pinheiro")</f>
        <v>Expressão poética de Valdelice Pinheiro</v>
      </c>
      <c r="B199" s="24" t="str">
        <f>IFERROR(__xludf.DUMMYFUNCTION("""COMPUTED_VALUE"""),"Maria de Lourdes Netto Simões")</f>
        <v>Maria de Lourdes Netto Simões</v>
      </c>
      <c r="C199" s="24" t="str">
        <f>IFERROR(__xludf.DUMMYFUNCTION("""COMPUTED_VALUE"""),"Ilhéus, BA")</f>
        <v>Ilhéus, BA</v>
      </c>
      <c r="D199" s="24" t="str">
        <f>IFERROR(__xludf.DUMMYFUNCTION("""COMPUTED_VALUE"""),"Editus")</f>
        <v>Editus</v>
      </c>
      <c r="E199" s="25">
        <f>IFERROR(__xludf.DUMMYFUNCTION("""COMPUTED_VALUE"""),2007.0)</f>
        <v>2007</v>
      </c>
      <c r="F199" s="24" t="str">
        <f>IFERROR(__xludf.DUMMYFUNCTION("""COMPUTED_VALUE"""),"Poesia brasileira - Coletânea; Pinheiro, Valdelice Soares, 1929-1993 - Biografia")</f>
        <v>Poesia brasileira - Coletânea; Pinheiro, Valdelice Soares, 1929-1993 - Biografia</v>
      </c>
      <c r="G199" s="28" t="str">
        <f>IFERROR(__xludf.DUMMYFUNCTION("""COMPUTED_VALUE"""),"9788574551272")</f>
        <v>9788574551272</v>
      </c>
      <c r="H199" s="29" t="str">
        <f>IFERROR(__xludf.DUMMYFUNCTION("""COMPUTED_VALUE"""),"http://www.uesc.br/editora/livrosdigitais/expressao_poetica.pdf")</f>
        <v>http://www.uesc.br/editora/livrosdigitais/expressao_poetica.pdf</v>
      </c>
      <c r="I199" s="24" t="str">
        <f>IFERROR(__xludf.DUMMYFUNCTION("""COMPUTED_VALUE"""),"Lingüística Letras e Artes")</f>
        <v>Lingüística Letras e Artes</v>
      </c>
    </row>
    <row r="200">
      <c r="A200" s="24" t="str">
        <f>IFERROR(__xludf.DUMMYFUNCTION("""COMPUTED_VALUE"""),"Fazenda de conto. Fazendo de conta")</f>
        <v>Fazenda de conto. Fazendo de conta</v>
      </c>
      <c r="B200" s="24" t="str">
        <f>IFERROR(__xludf.DUMMYFUNCTION("""COMPUTED_VALUE"""),"Ruy do Carmo Póvoas")</f>
        <v>Ruy do Carmo Póvoas</v>
      </c>
      <c r="C200" s="24" t="str">
        <f>IFERROR(__xludf.DUMMYFUNCTION("""COMPUTED_VALUE"""),"Ilhéus, BA")</f>
        <v>Ilhéus, BA</v>
      </c>
      <c r="D200" s="24" t="str">
        <f>IFERROR(__xludf.DUMMYFUNCTION("""COMPUTED_VALUE"""),"Editus")</f>
        <v>Editus</v>
      </c>
      <c r="E200" s="25">
        <f>IFERROR(__xludf.DUMMYFUNCTION("""COMPUTED_VALUE"""),2014.0)</f>
        <v>2014</v>
      </c>
      <c r="F200" s="24" t="str">
        <f>IFERROR(__xludf.DUMMYFUNCTION("""COMPUTED_VALUE"""),"Contos brasileiros; Literatura brasileira")</f>
        <v>Contos brasileiros; Literatura brasileira</v>
      </c>
      <c r="G200" s="28" t="str">
        <f>IFERROR(__xludf.DUMMYFUNCTION("""COMPUTED_VALUE"""),"9788574553740")</f>
        <v>9788574553740</v>
      </c>
      <c r="H200" s="29" t="str">
        <f>IFERROR(__xludf.DUMMYFUNCTION("""COMPUTED_VALUE"""),"http://www.uesc.br/editora/livrosdigitais2017/fazenda_conto_fazendo_de_conta.pdf")</f>
        <v>http://www.uesc.br/editora/livrosdigitais2017/fazenda_conto_fazendo_de_conta.pdf</v>
      </c>
      <c r="I200" s="24" t="str">
        <f>IFERROR(__xludf.DUMMYFUNCTION("""COMPUTED_VALUE"""),"Lingüística Letras e Artes")</f>
        <v>Lingüística Letras e Artes</v>
      </c>
    </row>
    <row r="201">
      <c r="A201" s="24" t="str">
        <f>IFERROR(__xludf.DUMMYFUNCTION("""COMPUTED_VALUE"""),"Ficção e memória: estudos de poética, retórica e literatura ")</f>
        <v>Ficção e memória: estudos de poética, retórica e literatura </v>
      </c>
      <c r="B201" s="24" t="str">
        <f>IFERROR(__xludf.DUMMYFUNCTION("""COMPUTED_VALUE"""),"Marcelo Lachat, Natali Fabiana da Costa e Silva (org.)")</f>
        <v>Marcelo Lachat, Natali Fabiana da Costa e Silva (org.)</v>
      </c>
      <c r="C201" s="24" t="str">
        <f>IFERROR(__xludf.DUMMYFUNCTION("""COMPUTED_VALUE"""),"Macapá")</f>
        <v>Macapá</v>
      </c>
      <c r="D201" s="24" t="str">
        <f>IFERROR(__xludf.DUMMYFUNCTION("""COMPUTED_VALUE"""),"UNIFAP")</f>
        <v>UNIFAP</v>
      </c>
      <c r="E201" s="25">
        <f>IFERROR(__xludf.DUMMYFUNCTION("""COMPUTED_VALUE"""),2017.0)</f>
        <v>2017</v>
      </c>
      <c r="F201" s="24" t="str">
        <f>IFERROR(__xludf.DUMMYFUNCTION("""COMPUTED_VALUE"""),"Poética; Retórica; Literatura")</f>
        <v>Poética; Retórica; Literatura</v>
      </c>
      <c r="G201" s="28" t="str">
        <f>IFERROR(__xludf.DUMMYFUNCTION("""COMPUTED_VALUE"""),"9788562359903")</f>
        <v>9788562359903</v>
      </c>
      <c r="H201" s="29" t="str">
        <f>IFERROR(__xludf.DUMMYFUNCTION("""COMPUTED_VALUE"""),"https://www2.unifap.br/editora/files/2014/12/E-book-Fic%c3%a7%c3%a3o-e-Mem%c3%b3ria.pdf")</f>
        <v>https://www2.unifap.br/editora/files/2014/12/E-book-Fic%c3%a7%c3%a3o-e-Mem%c3%b3ria.pdf</v>
      </c>
      <c r="I201" s="24" t="str">
        <f>IFERROR(__xludf.DUMMYFUNCTION("""COMPUTED_VALUE"""),"Lingüística Letras e Artes")</f>
        <v>Lingüística Letras e Artes</v>
      </c>
    </row>
    <row r="202">
      <c r="A202" s="24" t="str">
        <f>IFERROR(__xludf.DUMMYFUNCTION("""COMPUTED_VALUE"""),"Ficções de infância: Clarice Lispector.")</f>
        <v>Ficções de infância: Clarice Lispector.</v>
      </c>
      <c r="B202" s="24" t="str">
        <f>IFERROR(__xludf.DUMMYFUNCTION("""COMPUTED_VALUE"""),"Antoneli Matos Belli Sinder; ")</f>
        <v>Antoneli Matos Belli Sinder; </v>
      </c>
      <c r="C202" s="24" t="str">
        <f>IFERROR(__xludf.DUMMYFUNCTION("""COMPUTED_VALUE"""),"Rio de Janeiro")</f>
        <v>Rio de Janeiro</v>
      </c>
      <c r="D202" s="24" t="str">
        <f>IFERROR(__xludf.DUMMYFUNCTION("""COMPUTED_VALUE"""),"Editora PUC Rio")</f>
        <v>Editora PUC Rio</v>
      </c>
      <c r="E202" s="25">
        <f>IFERROR(__xludf.DUMMYFUNCTION("""COMPUTED_VALUE"""),2018.0)</f>
        <v>2018</v>
      </c>
      <c r="F202" s="24" t="str">
        <f>IFERROR(__xludf.DUMMYFUNCTION("""COMPUTED_VALUE"""),"Ficcão-infância-Clarice Lispector")</f>
        <v>Ficcão-infância-Clarice Lispector</v>
      </c>
      <c r="G202" s="28" t="str">
        <f>IFERROR(__xludf.DUMMYFUNCTION("""COMPUTED_VALUE"""),"9788567477329")</f>
        <v>9788567477329</v>
      </c>
      <c r="H202" s="29" t="str">
        <f>IFERROR(__xludf.DUMMYFUNCTION("""COMPUTED_VALUE"""),"http://www.editora.puc-rio.br/media/Ficcoes%20de%20infancia.pdf")</f>
        <v>http://www.editora.puc-rio.br/media/Ficcoes%20de%20infancia.pdf</v>
      </c>
      <c r="I202" s="24" t="str">
        <f>IFERROR(__xludf.DUMMYFUNCTION("""COMPUTED_VALUE"""),"Lingüística Letras e Artes")</f>
        <v>Lingüística Letras e Artes</v>
      </c>
    </row>
    <row r="203">
      <c r="A203" s="24" t="str">
        <f>IFERROR(__xludf.DUMMYFUNCTION("""COMPUTED_VALUE"""),"Filmando em Mato Grosso do Sul: o cinema populare a formação da identidade regiona")</f>
        <v>Filmando em Mato Grosso do Sul: o cinema populare a formação da identidade regiona</v>
      </c>
      <c r="B203" s="24" t="str">
        <f>IFERROR(__xludf.DUMMYFUNCTION("""COMPUTED_VALUE"""),"organizado por Cláudio Benito Oliveira Ferraz, Alexandre Aldo Neves")</f>
        <v>organizado por Cláudio Benito Oliveira Ferraz, Alexandre Aldo Neves</v>
      </c>
      <c r="C203" s="24" t="str">
        <f>IFERROR(__xludf.DUMMYFUNCTION("""COMPUTED_VALUE"""),"Dourados, MS")</f>
        <v>Dourados, MS</v>
      </c>
      <c r="D203" s="24" t="str">
        <f>IFERROR(__xludf.DUMMYFUNCTION("""COMPUTED_VALUE"""),"Ed. UFGD")</f>
        <v>Ed. UFGD</v>
      </c>
      <c r="E203" s="25">
        <f>IFERROR(__xludf.DUMMYFUNCTION("""COMPUTED_VALUE"""),2012.0)</f>
        <v>2012</v>
      </c>
      <c r="F203" s="24" t="str">
        <f>IFERROR(__xludf.DUMMYFUNCTION("""COMPUTED_VALUE"""),"Cinema – Mato Grosso do Sul; Cinema - Leitura; Identidade regional")</f>
        <v>Cinema – Mato Grosso do Sul; Cinema - Leitura; Identidade regional</v>
      </c>
      <c r="G203" s="28" t="str">
        <f>IFERROR(__xludf.DUMMYFUNCTION("""COMPUTED_VALUE"""),"9788581470047")</f>
        <v>9788581470047</v>
      </c>
      <c r="H203" s="29" t="str">
        <f>IFERROR(__xludf.DUMMYFUNCTION("""COMPUTED_VALUE"""),"http://omp.ufgd.edu.br/omp/index.php/livrosabertos/catalog/view/105/236/518-1")</f>
        <v>http://omp.ufgd.edu.br/omp/index.php/livrosabertos/catalog/view/105/236/518-1</v>
      </c>
      <c r="I203" s="24" t="str">
        <f>IFERROR(__xludf.DUMMYFUNCTION("""COMPUTED_VALUE"""),"Lingüística Letras e Artes")</f>
        <v>Lingüística Letras e Artes</v>
      </c>
    </row>
    <row r="204">
      <c r="A204" s="24" t="str">
        <f>IFERROR(__xludf.DUMMYFUNCTION("""COMPUTED_VALUE"""),"Folias do ornitorrinco")</f>
        <v>Folias do ornitorrinco</v>
      </c>
      <c r="B204" s="24" t="str">
        <f>IFERROR(__xludf.DUMMYFUNCTION("""COMPUTED_VALUE"""),"Haro, Rodrigo de")</f>
        <v>Haro, Rodrigo de</v>
      </c>
      <c r="C204" s="24" t="str">
        <f>IFERROR(__xludf.DUMMYFUNCTION("""COMPUTED_VALUE"""),"Florianópolis")</f>
        <v>Florianópolis</v>
      </c>
      <c r="D204" s="24" t="str">
        <f>IFERROR(__xludf.DUMMYFUNCTION("""COMPUTED_VALUE"""),"Editora da UFSC")</f>
        <v>Editora da UFSC</v>
      </c>
      <c r="E204" s="25">
        <f>IFERROR(__xludf.DUMMYFUNCTION("""COMPUTED_VALUE"""),2011.0)</f>
        <v>2011</v>
      </c>
      <c r="F204" s="24" t="str">
        <f>IFERROR(__xludf.DUMMYFUNCTION("""COMPUTED_VALUE"""),"Literatura brasileira;Poesia catarinense")</f>
        <v>Literatura brasileira;Poesia catarinense</v>
      </c>
      <c r="G204" s="28" t="str">
        <f>IFERROR(__xludf.DUMMYFUNCTION("""COMPUTED_VALUE"""),"9788532805799")</f>
        <v>9788532805799</v>
      </c>
      <c r="H204" s="29" t="str">
        <f>IFERROR(__xludf.DUMMYFUNCTION("""COMPUTED_VALUE"""),"https://repositorio.ufsc.br/handle/123456789/187733")</f>
        <v>https://repositorio.ufsc.br/handle/123456789/187733</v>
      </c>
      <c r="I204" s="24" t="str">
        <f>IFERROR(__xludf.DUMMYFUNCTION("""COMPUTED_VALUE"""),"Lingüística Letras e Artes")</f>
        <v>Lingüística Letras e Artes</v>
      </c>
    </row>
    <row r="205">
      <c r="A205" s="24" t="str">
        <f>IFERROR(__xludf.DUMMYFUNCTION("""COMPUTED_VALUE"""),"Fonética e fonologia da língua Akwen-Xerente (Jê): aspectos segmentais")</f>
        <v>Fonética e fonologia da língua Akwen-Xerente (Jê): aspectos segmentais</v>
      </c>
      <c r="B205" s="24" t="str">
        <f>IFERROR(__xludf.DUMMYFUNCTION("""COMPUTED_VALUE"""),"Shelton Lima de Souza")</f>
        <v>Shelton Lima de Souza</v>
      </c>
      <c r="C205" s="24" t="str">
        <f>IFERROR(__xludf.DUMMYFUNCTION("""COMPUTED_VALUE"""),"Rio Branco")</f>
        <v>Rio Branco</v>
      </c>
      <c r="D205" s="24" t="str">
        <f>IFERROR(__xludf.DUMMYFUNCTION("""COMPUTED_VALUE"""),"Edufac")</f>
        <v>Edufac</v>
      </c>
      <c r="E205" s="25">
        <f>IFERROR(__xludf.DUMMYFUNCTION("""COMPUTED_VALUE"""),2017.0)</f>
        <v>2017</v>
      </c>
      <c r="F205" s="24" t="str">
        <f>IFERROR(__xludf.DUMMYFUNCTION("""COMPUTED_VALUE"""),"Língua Akwen-Xerente (Jê) – Fonética – Fonologia; Índios da Akewen-Xerente – Brasil; Língua Indígena")</f>
        <v>Língua Akwen-Xerente (Jê) – Fonética – Fonologia; Índios da Akewen-Xerente – Brasil; Língua Indígena</v>
      </c>
      <c r="G205" s="28" t="str">
        <f>IFERROR(__xludf.DUMMYFUNCTION("""COMPUTED_VALUE"""),"9788582360613")</f>
        <v>9788582360613</v>
      </c>
      <c r="H205" s="29" t="str">
        <f>IFERROR(__xludf.DUMMYFUNCTION("""COMPUTED_VALUE"""),"http://www2.ufac.br/editora/livros/fonetica-e-fonologia.pdf")</f>
        <v>http://www2.ufac.br/editora/livros/fonetica-e-fonologia.pdf</v>
      </c>
      <c r="I205" s="24" t="str">
        <f>IFERROR(__xludf.DUMMYFUNCTION("""COMPUTED_VALUE"""),"Lingüística Letras e Artes")</f>
        <v>Lingüística Letras e Artes</v>
      </c>
    </row>
    <row r="206">
      <c r="A206" s="24" t="str">
        <f>IFERROR(__xludf.DUMMYFUNCTION("""COMPUTED_VALUE"""),"França")</f>
        <v>França</v>
      </c>
      <c r="B206" s="24" t="str">
        <f>IFERROR(__xludf.DUMMYFUNCTION("""COMPUTED_VALUE"""),"Luciana Macêdo")</f>
        <v>Luciana Macêdo</v>
      </c>
      <c r="C206" s="24" t="str">
        <f>IFERROR(__xludf.DUMMYFUNCTION("""COMPUTED_VALUE"""),"Macapá")</f>
        <v>Macapá</v>
      </c>
      <c r="D206" s="24" t="str">
        <f>IFERROR(__xludf.DUMMYFUNCTION("""COMPUTED_VALUE"""),"UNIFAP")</f>
        <v>UNIFAP</v>
      </c>
      <c r="E206" s="25">
        <f>IFERROR(__xludf.DUMMYFUNCTION("""COMPUTED_VALUE"""),2020.0)</f>
        <v>2020</v>
      </c>
      <c r="F206" s="24" t="str">
        <f>IFERROR(__xludf.DUMMYFUNCTION("""COMPUTED_VALUE"""),"Fotografia; Turismo; França")</f>
        <v>Fotografia; Turismo; França</v>
      </c>
      <c r="G206" s="28" t="str">
        <f>IFERROR(__xludf.DUMMYFUNCTION("""COMPUTED_VALUE"""),"9786599011061")</f>
        <v>9786599011061</v>
      </c>
      <c r="H206" s="29" t="str">
        <f>IFERROR(__xludf.DUMMYFUNCTION("""COMPUTED_VALUE"""),"https://www2.unifap.br/editora/files/2020/08/franca.pdf")</f>
        <v>https://www2.unifap.br/editora/files/2020/08/franca.pdf</v>
      </c>
      <c r="I206" s="24" t="str">
        <f>IFERROR(__xludf.DUMMYFUNCTION("""COMPUTED_VALUE"""),"Lingüística Letras e Artes")</f>
        <v>Lingüística Letras e Artes</v>
      </c>
    </row>
    <row r="207">
      <c r="A207" s="24" t="str">
        <f>IFERROR(__xludf.DUMMYFUNCTION("""COMPUTED_VALUE"""),"Garimpando Memória: Um estudo sincrônico e diacrônico da terminologia de ourivesaria presente no “Diccionario da Lingua Brasileira” (1832), de Luiz Maria da Silva Pinto")</f>
        <v>Garimpando Memória: Um estudo sincrônico e diacrônico da terminologia de ourivesaria presente no “Diccionario da Lingua Brasileira” (1832), de Luiz Maria da Silva Pinto</v>
      </c>
      <c r="B207" s="24" t="str">
        <f>IFERROR(__xludf.DUMMYFUNCTION("""COMPUTED_VALUE"""),"Estefânia Cristina da Costa")</f>
        <v>Estefânia Cristina da Costa</v>
      </c>
      <c r="C207" s="24" t="str">
        <f>IFERROR(__xludf.DUMMYFUNCTION("""COMPUTED_VALUE"""),"Ouro Preto")</f>
        <v>Ouro Preto</v>
      </c>
      <c r="D207" s="24" t="str">
        <f>IFERROR(__xludf.DUMMYFUNCTION("""COMPUTED_VALUE"""),"UFOP")</f>
        <v>UFOP</v>
      </c>
      <c r="E207" s="25">
        <f>IFERROR(__xludf.DUMMYFUNCTION("""COMPUTED_VALUE"""),2017.0)</f>
        <v>2017</v>
      </c>
      <c r="F207" s="24" t="str">
        <f>IFERROR(__xludf.DUMMYFUNCTION("""COMPUTED_VALUE"""),"erminologia. Lexicografia. Ourivesaria. Língua portuguesa")</f>
        <v>erminologia. Lexicografia. Ourivesaria. Língua portuguesa</v>
      </c>
      <c r="G207" s="28" t="str">
        <f>IFERROR(__xludf.DUMMYFUNCTION("""COMPUTED_VALUE"""),"9788528803556")</f>
        <v>9788528803556</v>
      </c>
      <c r="H207" s="29" t="str">
        <f>IFERROR(__xludf.DUMMYFUNCTION("""COMPUTED_VALUE"""),"https://www.editora.ufop.br/index.php/editora/catalog/view/127/102/334-1")</f>
        <v>https://www.editora.ufop.br/index.php/editora/catalog/view/127/102/334-1</v>
      </c>
      <c r="I207" s="24" t="str">
        <f>IFERROR(__xludf.DUMMYFUNCTION("""COMPUTED_VALUE"""),"Lingüística Letras e Artes")</f>
        <v>Lingüística Letras e Artes</v>
      </c>
    </row>
    <row r="208">
      <c r="A208" s="24" t="str">
        <f>IFERROR(__xludf.DUMMYFUNCTION("""COMPUTED_VALUE"""),"Gêneros textuais na escola: da compreensão à produção.")</f>
        <v>Gêneros textuais na escola: da compreensão à produção.</v>
      </c>
      <c r="B208" s="24" t="str">
        <f>IFERROR(__xludf.DUMMYFUNCTION("""COMPUTED_VALUE"""),"Adair Vieira Gonçalves")</f>
        <v>Adair Vieira Gonçalves</v>
      </c>
      <c r="C208" s="24" t="str">
        <f>IFERROR(__xludf.DUMMYFUNCTION("""COMPUTED_VALUE"""),"Dourados, MS")</f>
        <v>Dourados, MS</v>
      </c>
      <c r="D208" s="24" t="str">
        <f>IFERROR(__xludf.DUMMYFUNCTION("""COMPUTED_VALUE"""),"Ed. da UFGD")</f>
        <v>Ed. da UFGD</v>
      </c>
      <c r="E208" s="25">
        <f>IFERROR(__xludf.DUMMYFUNCTION("""COMPUTED_VALUE"""),2011.0)</f>
        <v>2011</v>
      </c>
      <c r="F208" s="24" t="str">
        <f>IFERROR(__xludf.DUMMYFUNCTION("""COMPUTED_VALUE"""),"Linguagem e línguas – Estudo e ensino; Língua portuguesa - Ensino; Linguística aplicada; Produção de textos; Elaboração de resumos e resenhas – Estudo e ensino")</f>
        <v>Linguagem e línguas – Estudo e ensino; Língua portuguesa - Ensino; Linguística aplicada; Produção de textos; Elaboração de resumos e resenhas – Estudo e ensino</v>
      </c>
      <c r="G208" s="28" t="str">
        <f>IFERROR(__xludf.DUMMYFUNCTION("""COMPUTED_VALUE"""),"9788561228767")</f>
        <v>9788561228767</v>
      </c>
      <c r="H208" s="29" t="str">
        <f>IFERROR(__xludf.DUMMYFUNCTION("""COMPUTED_VALUE"""),"http://omp.ufgd.edu.br/omp/index.php/livrosabertos/catalog/view/112/226/507-1")</f>
        <v>http://omp.ufgd.edu.br/omp/index.php/livrosabertos/catalog/view/112/226/507-1</v>
      </c>
      <c r="I208" s="24" t="str">
        <f>IFERROR(__xludf.DUMMYFUNCTION("""COMPUTED_VALUE"""),"Lingüística Letras e Artes")</f>
        <v>Lingüística Letras e Artes</v>
      </c>
    </row>
    <row r="209">
      <c r="A209" s="24" t="str">
        <f>IFERROR(__xludf.DUMMYFUNCTION("""COMPUTED_VALUE"""),"Geografia e literatura: diálogo em torno da identidade territorial sul-mato-grossense.")</f>
        <v>Geografia e literatura: diálogo em torno da identidade territorial sul-mato-grossense.</v>
      </c>
      <c r="B209" s="24" t="str">
        <f>IFERROR(__xludf.DUMMYFUNCTION("""COMPUTED_VALUE"""),"Robinson Santos Pinheiro ")</f>
        <v>Robinson Santos Pinheiro </v>
      </c>
      <c r="C209" s="24" t="str">
        <f>IFERROR(__xludf.DUMMYFUNCTION("""COMPUTED_VALUE"""),"Dourados, MS")</f>
        <v>Dourados, MS</v>
      </c>
      <c r="D209" s="24" t="str">
        <f>IFERROR(__xludf.DUMMYFUNCTION("""COMPUTED_VALUE"""),"Ed. da UFGD")</f>
        <v>Ed. da UFGD</v>
      </c>
      <c r="E209" s="25">
        <f>IFERROR(__xludf.DUMMYFUNCTION("""COMPUTED_VALUE"""),2014.0)</f>
        <v>2014</v>
      </c>
      <c r="F209" s="24" t="str">
        <f>IFERROR(__xludf.DUMMYFUNCTION("""COMPUTED_VALUE"""),"Geografia; Territorialidades; Linguagem; Literatura regionalista")</f>
        <v>Geografia; Territorialidades; Linguagem; Literatura regionalista</v>
      </c>
      <c r="G209" s="28" t="str">
        <f>IFERROR(__xludf.DUMMYFUNCTION("""COMPUTED_VALUE"""),"9788581470481")</f>
        <v>9788581470481</v>
      </c>
      <c r="H209" s="29" t="str">
        <f>IFERROR(__xludf.DUMMYFUNCTION("""COMPUTED_VALUE"""),"http://omp.ufgd.edu.br/omp/index.php/livrosabertos/catalog/view/110/228/509-1")</f>
        <v>http://omp.ufgd.edu.br/omp/index.php/livrosabertos/catalog/view/110/228/509-1</v>
      </c>
      <c r="I209" s="24" t="str">
        <f>IFERROR(__xludf.DUMMYFUNCTION("""COMPUTED_VALUE"""),"Lingüística Letras e Artes")</f>
        <v>Lingüística Letras e Artes</v>
      </c>
    </row>
    <row r="210">
      <c r="A210" s="24" t="str">
        <f>IFERROR(__xludf.DUMMYFUNCTION("""COMPUTED_VALUE"""),"Gosto neoclássico: atores e práticas artísticas no Brasil do século XIX")</f>
        <v>Gosto neoclássico: atores e práticas artísticas no Brasil do século XIX</v>
      </c>
      <c r="B210" s="24" t="str">
        <f>IFERROR(__xludf.DUMMYFUNCTION("""COMPUTED_VALUE"""),"Ana Pessoa; Margareth da Silva Pereira; Karolyna Koppke (org.)")</f>
        <v>Ana Pessoa; Margareth da Silva Pereira; Karolyna Koppke (org.)</v>
      </c>
      <c r="C210" s="24" t="str">
        <f>IFERROR(__xludf.DUMMYFUNCTION("""COMPUTED_VALUE"""),"Rio de Janeiro")</f>
        <v>Rio de Janeiro</v>
      </c>
      <c r="D210" s="24" t="str">
        <f>IFERROR(__xludf.DUMMYFUNCTION("""COMPUTED_VALUE"""),"Fundação Casa de Rui Barbosa")</f>
        <v>Fundação Casa de Rui Barbosa</v>
      </c>
      <c r="E210" s="25">
        <f>IFERROR(__xludf.DUMMYFUNCTION("""COMPUTED_VALUE"""),2018.0)</f>
        <v>2018</v>
      </c>
      <c r="F210" s="24" t="str">
        <f>IFERROR(__xludf.DUMMYFUNCTION("""COMPUTED_VALUE"""),"Gosto neoclássico. História da Arquitetura. Artes decorativas")</f>
        <v>Gosto neoclássico. História da Arquitetura. Artes decorativas</v>
      </c>
      <c r="G210" s="28" t="str">
        <f>IFERROR(__xludf.DUMMYFUNCTION("""COMPUTED_VALUE"""),"9788570043948")</f>
        <v>9788570043948</v>
      </c>
      <c r="H210" s="29" t="str">
        <f>IFERROR(__xludf.DUMMYFUNCTION("""COMPUTED_VALUE"""),"http://www.casaruibarbosa.gov.br/arquivos/file/Gosto_Neoclassico_FINAL_0906%20(1).pdf")</f>
        <v>http://www.casaruibarbosa.gov.br/arquivos/file/Gosto_Neoclassico_FINAL_0906%20(1).pdf</v>
      </c>
      <c r="I210" s="24" t="str">
        <f>IFERROR(__xludf.DUMMYFUNCTION("""COMPUTED_VALUE"""),"Lingüística Letras e Artes")</f>
        <v>Lingüística Letras e Artes</v>
      </c>
    </row>
    <row r="211">
      <c r="A211" s="24" t="str">
        <f>IFERROR(__xludf.DUMMYFUNCTION("""COMPUTED_VALUE"""),"Graciliano Ramos e o desgosto de ser criatura")</f>
        <v>Graciliano Ramos e o desgosto de ser criatura</v>
      </c>
      <c r="B211" s="24" t="str">
        <f>IFERROR(__xludf.DUMMYFUNCTION("""COMPUTED_VALUE"""),"Jorge de Souza Araújo")</f>
        <v>Jorge de Souza Araújo</v>
      </c>
      <c r="C211" s="24" t="str">
        <f>IFERROR(__xludf.DUMMYFUNCTION("""COMPUTED_VALUE"""),"Ilhéus, BA")</f>
        <v>Ilhéus, BA</v>
      </c>
      <c r="D211" s="24" t="str">
        <f>IFERROR(__xludf.DUMMYFUNCTION("""COMPUTED_VALUE"""),"Editus")</f>
        <v>Editus</v>
      </c>
      <c r="E211" s="25">
        <f>IFERROR(__xludf.DUMMYFUNCTION("""COMPUTED_VALUE"""),2014.0)</f>
        <v>2014</v>
      </c>
      <c r="F211" s="24" t="str">
        <f>IFERROR(__xludf.DUMMYFUNCTION("""COMPUTED_VALUE"""),"Ramos, Graciliano, 1852-1953 – Crítica e interpretação; Literatura brasileira – História e crítica")</f>
        <v>Ramos, Graciliano, 1852-1953 – Crítica e interpretação; Literatura brasileira – História e crítica</v>
      </c>
      <c r="G211" s="28" t="str">
        <f>IFERROR(__xludf.DUMMYFUNCTION("""COMPUTED_VALUE"""),"9708574553528")</f>
        <v>9708574553528</v>
      </c>
      <c r="H211" s="29" t="str">
        <f>IFERROR(__xludf.DUMMYFUNCTION("""COMPUTED_VALUE"""),"http://www.uesc.br/editora/livrosdigitais2016/graciliano_ramos_desgosto_de_ser_criatura.pdf")</f>
        <v>http://www.uesc.br/editora/livrosdigitais2016/graciliano_ramos_desgosto_de_ser_criatura.pdf</v>
      </c>
      <c r="I211" s="24" t="str">
        <f>IFERROR(__xludf.DUMMYFUNCTION("""COMPUTED_VALUE"""),"Lingüística Letras e Artes")</f>
        <v>Lingüística Letras e Artes</v>
      </c>
    </row>
    <row r="212">
      <c r="A212" s="24" t="str">
        <f>IFERROR(__xludf.DUMMYFUNCTION("""COMPUTED_VALUE"""),"Gralha azul: nas asas da esperança")</f>
        <v>Gralha azul: nas asas da esperança</v>
      </c>
      <c r="B212" s="24" t="str">
        <f>IFERROR(__xludf.DUMMYFUNCTION("""COMPUTED_VALUE"""),"Pereira, Leonilda Antunes (org.)")</f>
        <v>Pereira, Leonilda Antunes (org.)</v>
      </c>
      <c r="C212" s="24" t="str">
        <f>IFERROR(__xludf.DUMMYFUNCTION("""COMPUTED_VALUE"""),"Florianópolis")</f>
        <v>Florianópolis</v>
      </c>
      <c r="D212" s="24" t="str">
        <f>IFERROR(__xludf.DUMMYFUNCTION("""COMPUTED_VALUE"""),"Editora da UFSC")</f>
        <v>Editora da UFSC</v>
      </c>
      <c r="E212" s="25">
        <f>IFERROR(__xludf.DUMMYFUNCTION("""COMPUTED_VALUE"""),2012.0)</f>
        <v>2012</v>
      </c>
      <c r="F212" s="24" t="str">
        <f>IFERROR(__xludf.DUMMYFUNCTION("""COMPUTED_VALUE"""),"Literatura brasileira;Poesia brasileira")</f>
        <v>Literatura brasileira;Poesia brasileira</v>
      </c>
      <c r="G212" s="28" t="str">
        <f>IFERROR(__xludf.DUMMYFUNCTION("""COMPUTED_VALUE"""),"9788532805836")</f>
        <v>9788532805836</v>
      </c>
      <c r="H212" s="29" t="str">
        <f>IFERROR(__xludf.DUMMYFUNCTION("""COMPUTED_VALUE"""),"https://repositorio.ufsc.br/handle/123456789/187616")</f>
        <v>https://repositorio.ufsc.br/handle/123456789/187616</v>
      </c>
      <c r="I212" s="24" t="str">
        <f>IFERROR(__xludf.DUMMYFUNCTION("""COMPUTED_VALUE"""),"Lingüística Letras e Artes")</f>
        <v>Lingüística Letras e Artes</v>
      </c>
    </row>
    <row r="213">
      <c r="A213" s="24" t="str">
        <f>IFERROR(__xludf.DUMMYFUNCTION("""COMPUTED_VALUE"""),"Grande sertão, 60 anos")</f>
        <v>Grande sertão, 60 anos</v>
      </c>
      <c r="B213" s="24" t="str">
        <f>IFERROR(__xludf.DUMMYFUNCTION("""COMPUTED_VALUE"""),"Francisco Wellington Rodrigues Lima, Marcos Paulo Torres Pereira, Regina Lúcia da Silva Nascimento, Yurgel Pantoja; Caldas (org.)")</f>
        <v>Francisco Wellington Rodrigues Lima, Marcos Paulo Torres Pereira, Regina Lúcia da Silva Nascimento, Yurgel Pantoja; Caldas (org.)</v>
      </c>
      <c r="C213" s="24" t="str">
        <f>IFERROR(__xludf.DUMMYFUNCTION("""COMPUTED_VALUE"""),"Macapá")</f>
        <v>Macapá</v>
      </c>
      <c r="D213" s="24" t="str">
        <f>IFERROR(__xludf.DUMMYFUNCTION("""COMPUTED_VALUE"""),"UNIFAP")</f>
        <v>UNIFAP</v>
      </c>
      <c r="E213" s="25">
        <f>IFERROR(__xludf.DUMMYFUNCTION("""COMPUTED_VALUE"""),2017.0)</f>
        <v>2017</v>
      </c>
      <c r="F213" s="24" t="str">
        <f>IFERROR(__xludf.DUMMYFUNCTION("""COMPUTED_VALUE"""),"Guimarães Rosa; Memória; Literatura Brasileira")</f>
        <v>Guimarães Rosa; Memória; Literatura Brasileira</v>
      </c>
      <c r="G213" s="28" t="str">
        <f>IFERROR(__xludf.DUMMYFUNCTION("""COMPUTED_VALUE"""),"9788562359958")</f>
        <v>9788562359958</v>
      </c>
      <c r="H213" s="29" t="str">
        <f>IFERROR(__xludf.DUMMYFUNCTION("""COMPUTED_VALUE"""),"https://www2.unifap.br/editora/files/2018/05/Grande-Sert%c3%a3o-60-anos.pdf")</f>
        <v>https://www2.unifap.br/editora/files/2018/05/Grande-Sert%c3%a3o-60-anos.pdf</v>
      </c>
      <c r="I213" s="24" t="str">
        <f>IFERROR(__xludf.DUMMYFUNCTION("""COMPUTED_VALUE"""),"Lingüística Letras e Artes")</f>
        <v>Lingüística Letras e Artes</v>
      </c>
    </row>
    <row r="214">
      <c r="A214" s="24" t="str">
        <f>IFERROR(__xludf.DUMMYFUNCTION("""COMPUTED_VALUE"""),"Graves &amp; Frívolos (por assuntos de arte)")</f>
        <v>Graves &amp; Frívolos (por assuntos de arte)</v>
      </c>
      <c r="B214" s="24" t="str">
        <f>IFERROR(__xludf.DUMMYFUNCTION("""COMPUTED_VALUE"""),"Gonzaga Duque")</f>
        <v>Gonzaga Duque</v>
      </c>
      <c r="C214" s="24" t="str">
        <f>IFERROR(__xludf.DUMMYFUNCTION("""COMPUTED_VALUE"""),"Rio de Janeiro")</f>
        <v>Rio de Janeiro</v>
      </c>
      <c r="D214" s="24" t="str">
        <f>IFERROR(__xludf.DUMMYFUNCTION("""COMPUTED_VALUE"""),"Fundação Casa de Rui Barbosa")</f>
        <v>Fundação Casa de Rui Barbosa</v>
      </c>
      <c r="E214" s="25">
        <f>IFERROR(__xludf.DUMMYFUNCTION("""COMPUTED_VALUE"""),1997.0)</f>
        <v>1997</v>
      </c>
      <c r="F214" s="24" t="str">
        <f>IFERROR(__xludf.DUMMYFUNCTION("""COMPUTED_VALUE"""),"Artes ")</f>
        <v>Artes </v>
      </c>
      <c r="G214" s="28" t="str">
        <f>IFERROR(__xludf.DUMMYFUNCTION("""COMPUTED_VALUE"""),"8573880260")</f>
        <v>8573880260</v>
      </c>
      <c r="H214" s="29" t="str">
        <f>IFERROR(__xludf.DUMMYFUNCTION("""COMPUTED_VALUE"""),"http://www.casaruibarbosa.gov.br/arquivos/file/Graves%20e%20fr%C3%ADvolos%20OCR.pdf")</f>
        <v>http://www.casaruibarbosa.gov.br/arquivos/file/Graves%20e%20fr%C3%ADvolos%20OCR.pdf</v>
      </c>
      <c r="I214" s="24" t="str">
        <f>IFERROR(__xludf.DUMMYFUNCTION("""COMPUTED_VALUE"""),"Lingüística Letras e Artes")</f>
        <v>Lingüística Letras e Artes</v>
      </c>
    </row>
    <row r="215">
      <c r="A215" s="24" t="str">
        <f>IFERROR(__xludf.DUMMYFUNCTION("""COMPUTED_VALUE"""),"Guaiguingue")</f>
        <v>Guaiguingue</v>
      </c>
      <c r="B215" s="24" t="str">
        <f>IFERROR(__xludf.DUMMYFUNCTION("""COMPUTED_VALUE"""),"Comitê Editorial Cone Sul Ação Saberes Indígenas na Escola.")</f>
        <v>Comitê Editorial Cone Sul Ação Saberes Indígenas na Escola.</v>
      </c>
      <c r="C215" s="24" t="str">
        <f>IFERROR(__xludf.DUMMYFUNCTION("""COMPUTED_VALUE"""),"Dourados, MS")</f>
        <v>Dourados, MS</v>
      </c>
      <c r="D215" s="24" t="str">
        <f>IFERROR(__xludf.DUMMYFUNCTION("""COMPUTED_VALUE"""),"Ed. Universidade Federal da Grande Dourados")</f>
        <v>Ed. Universidade Federal da Grande Dourados</v>
      </c>
      <c r="E215" s="25">
        <f>IFERROR(__xludf.DUMMYFUNCTION("""COMPUTED_VALUE"""),2018.0)</f>
        <v>2018</v>
      </c>
      <c r="F215" s="24" t="str">
        <f>IFERROR(__xludf.DUMMYFUNCTION("""COMPUTED_VALUE"""),"Literatura infantojuvenil indígena (Brasil); Índios Guarani Kaiwá - Literatura infantojuvenil; Literatura infantojuvenil brasileira - Escritores indígenas; Índios da América do Sul - Mitos e lendas")</f>
        <v>Literatura infantojuvenil indígena (Brasil); Índios Guarani Kaiwá - Literatura infantojuvenil; Literatura infantojuvenil brasileira - Escritores indígenas; Índios da América do Sul - Mitos e lendas</v>
      </c>
      <c r="G215" s="28" t="str">
        <f>IFERROR(__xludf.DUMMYFUNCTION("""COMPUTED_VALUE"""),"9788581471570")</f>
        <v>9788581471570</v>
      </c>
      <c r="H215" s="29" t="str">
        <f>IFERROR(__xludf.DUMMYFUNCTION("""COMPUTED_VALUE"""),"http://omp.ufgd.edu.br/omp/index.php/livrosabertos/catalog/view/113/58/205-1")</f>
        <v>http://omp.ufgd.edu.br/omp/index.php/livrosabertos/catalog/view/113/58/205-1</v>
      </c>
      <c r="I215" s="24" t="str">
        <f>IFERROR(__xludf.DUMMYFUNCTION("""COMPUTED_VALUE"""),"Lingüística Letras e Artes")</f>
        <v>Lingüística Letras e Artes</v>
      </c>
    </row>
    <row r="216">
      <c r="A216" s="24" t="str">
        <f>IFERROR(__xludf.DUMMYFUNCTION("""COMPUTED_VALUE"""),"Guia de Cinema e Migrações Transnacionais")</f>
        <v>Guia de Cinema e Migrações Transnacionais</v>
      </c>
      <c r="B216" s="24" t="str">
        <f>IFERROR(__xludf.DUMMYFUNCTION("""COMPUTED_VALUE"""),"Denise Cogo; Rafael Tassi Teixeira (org.)")</f>
        <v>Denise Cogo; Rafael Tassi Teixeira (org.)</v>
      </c>
      <c r="C216" s="24" t="str">
        <f>IFERROR(__xludf.DUMMYFUNCTION("""COMPUTED_VALUE"""),"Boa Vista ")</f>
        <v>Boa Vista </v>
      </c>
      <c r="D216" s="24" t="str">
        <f>IFERROR(__xludf.DUMMYFUNCTION("""COMPUTED_VALUE"""),"UFRR")</f>
        <v>UFRR</v>
      </c>
      <c r="E216" s="25">
        <f>IFERROR(__xludf.DUMMYFUNCTION("""COMPUTED_VALUE"""),2018.0)</f>
        <v>2018</v>
      </c>
      <c r="F216" s="24" t="str">
        <f>IFERROR(__xludf.DUMMYFUNCTION("""COMPUTED_VALUE"""),"Cinema; Migrações")</f>
        <v>Cinema; Migrações</v>
      </c>
      <c r="G216" s="28" t="str">
        <f>IFERROR(__xludf.DUMMYFUNCTION("""COMPUTED_VALUE"""),"9788582881620")</f>
        <v>9788582881620</v>
      </c>
      <c r="H216" s="29" t="str">
        <f>IFERROR(__xludf.DUMMYFUNCTION("""COMPUTED_VALUE"""),"http://ufrr.br/editora/index.php/editais?download=418")</f>
        <v>http://ufrr.br/editora/index.php/editais?download=418</v>
      </c>
      <c r="I216" s="24" t="str">
        <f>IFERROR(__xludf.DUMMYFUNCTION("""COMPUTED_VALUE"""),"Lingüística Letras e Artes")</f>
        <v>Lingüística Letras e Artes</v>
      </c>
    </row>
    <row r="217">
      <c r="A217" s="24" t="str">
        <f>IFERROR(__xludf.DUMMYFUNCTION("""COMPUTED_VALUE"""),"Hermilo Borba Filho : Memória De Resistência E Resistência Da Memória")</f>
        <v>Hermilo Borba Filho : Memória De Resistência E Resistência Da Memória</v>
      </c>
      <c r="B217" s="24" t="str">
        <f>IFERROR(__xludf.DUMMYFUNCTION("""COMPUTED_VALUE"""),"Geralda Medeiros Nóbrega")</f>
        <v>Geralda Medeiros Nóbrega</v>
      </c>
      <c r="C217" s="24" t="str">
        <f>IFERROR(__xludf.DUMMYFUNCTION("""COMPUTED_VALUE"""),"Campina Grande")</f>
        <v>Campina Grande</v>
      </c>
      <c r="D217" s="24" t="str">
        <f>IFERROR(__xludf.DUMMYFUNCTION("""COMPUTED_VALUE"""),"EDUEPB")</f>
        <v>EDUEPB</v>
      </c>
      <c r="E217" s="25">
        <f>IFERROR(__xludf.DUMMYFUNCTION("""COMPUTED_VALUE"""),2015.0)</f>
        <v>2015</v>
      </c>
      <c r="F217" s="24" t="str">
        <f>IFERROR(__xludf.DUMMYFUNCTION("""COMPUTED_VALUE"""),"Literatura brasileira. Regionalismo. Nordeste. Interculturalidade. Análise literária. Hermilo Borba Filho")</f>
        <v>Literatura brasileira. Regionalismo. Nordeste. Interculturalidade. Análise literária. Hermilo Borba Filho</v>
      </c>
      <c r="G217" s="28" t="str">
        <f>IFERROR(__xludf.DUMMYFUNCTION("""COMPUTED_VALUE"""),"9788578792879")</f>
        <v>9788578792879</v>
      </c>
      <c r="H217" s="29" t="str">
        <f>IFERROR(__xludf.DUMMYFUNCTION("""COMPUTED_VALUE"""),"http://eduepb.uepb.edu.br/download/hermilo-borba-filho-memoria-de-resistencia-e-resistencia-da-memoria/?wpdmdl=187&amp;amp;masterkey=5af99b5cd9e19")</f>
        <v>http://eduepb.uepb.edu.br/download/hermilo-borba-filho-memoria-de-resistencia-e-resistencia-da-memoria/?wpdmdl=187&amp;amp;masterkey=5af99b5cd9e19</v>
      </c>
      <c r="I217" s="24" t="str">
        <f>IFERROR(__xludf.DUMMYFUNCTION("""COMPUTED_VALUE"""),"Lingüística Letras e Artes")</f>
        <v>Lingüística Letras e Artes</v>
      </c>
    </row>
    <row r="218">
      <c r="A218" s="24" t="str">
        <f>IFERROR(__xludf.DUMMYFUNCTION("""COMPUTED_VALUE"""),"História da Arte: ensaios contemporâneos")</f>
        <v>História da Arte: ensaios contemporâneos</v>
      </c>
      <c r="B218" s="24" t="str">
        <f>IFERROR(__xludf.DUMMYFUNCTION("""COMPUTED_VALUE"""),"Marcelo Campos, Maria Berbara, Roberto Conduru e Vera Beatriz Siqueira (orgs.)")</f>
        <v>Marcelo Campos, Maria Berbara, Roberto Conduru e Vera Beatriz Siqueira (orgs.)</v>
      </c>
      <c r="C218" s="24" t="str">
        <f>IFERROR(__xludf.DUMMYFUNCTION("""COMPUTED_VALUE"""),"Rio de Janeiro")</f>
        <v>Rio de Janeiro</v>
      </c>
      <c r="D218" s="24" t="str">
        <f>IFERROR(__xludf.DUMMYFUNCTION("""COMPUTED_VALUE"""),"EdUERJ")</f>
        <v>EdUERJ</v>
      </c>
      <c r="E218" s="25">
        <f>IFERROR(__xludf.DUMMYFUNCTION("""COMPUTED_VALUE"""),2011.0)</f>
        <v>2011</v>
      </c>
      <c r="F218" s="24" t="str">
        <f>IFERROR(__xludf.DUMMYFUNCTION("""COMPUTED_VALUE"""),"Arte; História da arte; Ensaios contemporâneos")</f>
        <v>Arte; História da arte; Ensaios contemporâneos</v>
      </c>
      <c r="G218" s="28" t="str">
        <f>IFERROR(__xludf.DUMMYFUNCTION("""COMPUTED_VALUE"""),"9788575111888")</f>
        <v>9788575111888</v>
      </c>
      <c r="H218" s="29" t="str">
        <f>IFERROR(__xludf.DUMMYFUNCTION("""COMPUTED_VALUE"""),"https://www.eduerj.com/eng/?product=historia-da-arte-ensaios-contemporaneos-ebook")</f>
        <v>https://www.eduerj.com/eng/?product=historia-da-arte-ensaios-contemporaneos-ebook</v>
      </c>
      <c r="I218" s="24" t="str">
        <f>IFERROR(__xludf.DUMMYFUNCTION("""COMPUTED_VALUE"""),"Lingüística Letras e Artes")</f>
        <v>Lingüística Letras e Artes</v>
      </c>
    </row>
    <row r="219">
      <c r="A219" s="24" t="str">
        <f>IFERROR(__xludf.DUMMYFUNCTION("""COMPUTED_VALUE"""),"História dos mares da Bahia")</f>
        <v>História dos mares da Bahia</v>
      </c>
      <c r="B219" s="24" t="str">
        <f>IFERROR(__xludf.DUMMYFUNCTION("""COMPUTED_VALUE"""),"Cyro de Mattos, organização, prefácio e notas")</f>
        <v>Cyro de Mattos, organização, prefácio e notas</v>
      </c>
      <c r="C219" s="24" t="str">
        <f>IFERROR(__xludf.DUMMYFUNCTION("""COMPUTED_VALUE"""),"Ilhéus, BA")</f>
        <v>Ilhéus, BA</v>
      </c>
      <c r="D219" s="24" t="str">
        <f>IFERROR(__xludf.DUMMYFUNCTION("""COMPUTED_VALUE"""),"Editus")</f>
        <v>Editus</v>
      </c>
      <c r="E219" s="25">
        <f>IFERROR(__xludf.DUMMYFUNCTION("""COMPUTED_VALUE"""),2016.0)</f>
        <v>2016</v>
      </c>
      <c r="F219" s="24" t="str">
        <f>IFERROR(__xludf.DUMMYFUNCTION("""COMPUTED_VALUE"""),"Contos brasileiros; Literatura brasileira")</f>
        <v>Contos brasileiros; Literatura brasileira</v>
      </c>
      <c r="G219" s="28" t="str">
        <f>IFERROR(__xludf.DUMMYFUNCTION("""COMPUTED_VALUE"""),"9788574554167")</f>
        <v>9788574554167</v>
      </c>
      <c r="H219" s="29" t="str">
        <f>IFERROR(__xludf.DUMMYFUNCTION("""COMPUTED_VALUE"""),"http://www.uesc.br/editora/livrosdigitais2017/historias_dos_mares_da_bahia.pdf")</f>
        <v>http://www.uesc.br/editora/livrosdigitais2017/historias_dos_mares_da_bahia.pdf</v>
      </c>
      <c r="I219" s="24" t="str">
        <f>IFERROR(__xludf.DUMMYFUNCTION("""COMPUTED_VALUE"""),"Lingüística Letras e Artes")</f>
        <v>Lingüística Letras e Artes</v>
      </c>
    </row>
    <row r="220">
      <c r="A220" s="24" t="str">
        <f>IFERROR(__xludf.DUMMYFUNCTION("""COMPUTED_VALUE"""),"Histórias dispersas de Adonias Filho")</f>
        <v>Histórias dispersas de Adonias Filho</v>
      </c>
      <c r="B220" s="24" t="str">
        <f>IFERROR(__xludf.DUMMYFUNCTION("""COMPUTED_VALUE"""),"Adonias Filho; organização, prefácio e notas de Cyro de Mattos; capa e ilustrações Ângelo Roberto")</f>
        <v>Adonias Filho; organização, prefácio e notas de Cyro de Mattos; capa e ilustrações Ângelo Roberto</v>
      </c>
      <c r="C220" s="24" t="str">
        <f>IFERROR(__xludf.DUMMYFUNCTION("""COMPUTED_VALUE"""),"Ilhéus, BA")</f>
        <v>Ilhéus, BA</v>
      </c>
      <c r="D220" s="24" t="str">
        <f>IFERROR(__xludf.DUMMYFUNCTION("""COMPUTED_VALUE"""),"Editus")</f>
        <v>Editus</v>
      </c>
      <c r="E220" s="25">
        <f>IFERROR(__xludf.DUMMYFUNCTION("""COMPUTED_VALUE"""),2011.0)</f>
        <v>2011</v>
      </c>
      <c r="F220" s="24" t="str">
        <f>IFERROR(__xludf.DUMMYFUNCTION("""COMPUTED_VALUE"""),"Antologias brasileiras; Literatura brasileira; Narrativas. I. Mattos, Cyro de, 1939-")</f>
        <v>Antologias brasileiras; Literatura brasileira; Narrativas. I. Mattos, Cyro de, 1939-</v>
      </c>
      <c r="G220" s="28" t="str">
        <f>IFERROR(__xludf.DUMMYFUNCTION("""COMPUTED_VALUE"""),"9788574552545")</f>
        <v>9788574552545</v>
      </c>
      <c r="H220" s="29" t="str">
        <f>IFERROR(__xludf.DUMMYFUNCTION("""COMPUTED_VALUE"""),"http://www.uesc.br/editora/livrosdigitais2015/historias_adonias_filho.pdf")</f>
        <v>http://www.uesc.br/editora/livrosdigitais2015/historias_adonias_filho.pdf</v>
      </c>
      <c r="I220" s="24" t="str">
        <f>IFERROR(__xludf.DUMMYFUNCTION("""COMPUTED_VALUE"""),"Lingüística Letras e Artes")</f>
        <v>Lingüística Letras e Artes</v>
      </c>
    </row>
    <row r="221">
      <c r="A221" s="24" t="str">
        <f>IFERROR(__xludf.DUMMYFUNCTION("""COMPUTED_VALUE"""),"Hiyokéná kipâe = dança masculina")</f>
        <v>Hiyokéná kipâe = dança masculina</v>
      </c>
      <c r="B221" s="24" t="str">
        <f>IFERROR(__xludf.DUMMYFUNCTION("""COMPUTED_VALUE"""),"Comitê Editorial Cone SulAção Saberes Indígenas na Escola. ")</f>
        <v>Comitê Editorial Cone SulAção Saberes Indígenas na Escola. </v>
      </c>
      <c r="C221" s="24" t="str">
        <f>IFERROR(__xludf.DUMMYFUNCTION("""COMPUTED_VALUE"""),"Dourados, MS")</f>
        <v>Dourados, MS</v>
      </c>
      <c r="D221" s="24" t="str">
        <f>IFERROR(__xludf.DUMMYFUNCTION("""COMPUTED_VALUE"""),"Ed. Universidade Federal daGrande Dourados")</f>
        <v>Ed. Universidade Federal daGrande Dourados</v>
      </c>
      <c r="E221" s="25">
        <f>IFERROR(__xludf.DUMMYFUNCTION("""COMPUTED_VALUE"""),2019.0)</f>
        <v>2019</v>
      </c>
      <c r="F221" s="24" t="str">
        <f>IFERROR(__xludf.DUMMYFUNCTION("""COMPUTED_VALUE"""),"Literatura infantojuvenil indígena (Brasil) - Contos; ÍndiosGuarani Kaiowá - Literatura infantojuvenil - Contos; Literaturainfantojuvenil brasileira - Escritores indígenas; Índios da América doSul - Educação de filhos; Índios Guarani Kaiowá - Usos e costu"&amp;"mes; Etnografia; Mito terena")</f>
        <v>Literatura infantojuvenil indígena (Brasil) - Contos; ÍndiosGuarani Kaiowá - Literatura infantojuvenil - Contos; Literaturainfantojuvenil brasileira - Escritores indígenas; Índios da América doSul - Educação de filhos; Índios Guarani Kaiowá - Usos e costumes; Etnografia; Mito terena</v>
      </c>
      <c r="G221" s="28" t="str">
        <f>IFERROR(__xludf.DUMMYFUNCTION("""COMPUTED_VALUE"""),"9788581471747")</f>
        <v>9788581471747</v>
      </c>
      <c r="H221" s="29" t="str">
        <f>IFERROR(__xludf.DUMMYFUNCTION("""COMPUTED_VALUE"""),"http://omp.ufgd.edu.br/omp/index.php/livrosabertos/catalog/view/259/255/564-1")</f>
        <v>http://omp.ufgd.edu.br/omp/index.php/livrosabertos/catalog/view/259/255/564-1</v>
      </c>
      <c r="I221" s="24" t="str">
        <f>IFERROR(__xludf.DUMMYFUNCTION("""COMPUTED_VALUE"""),"Lingüística Letras e Artes")</f>
        <v>Lingüística Letras e Artes</v>
      </c>
    </row>
    <row r="222">
      <c r="A222" s="24" t="str">
        <f>IFERROR(__xludf.DUMMYFUNCTION("""COMPUTED_VALUE"""),"III Coletiva de Artistas do Sul")</f>
        <v>III Coletiva de Artistas do Sul</v>
      </c>
      <c r="B222" s="24" t="str">
        <f>IFERROR(__xludf.DUMMYFUNCTION("""COMPUTED_VALUE"""),"Reddig, Amalhene Baesso; Zacarão, Daniela; Feldhaus, Marcelo")</f>
        <v>Reddig, Amalhene Baesso; Zacarão, Daniela; Feldhaus, Marcelo</v>
      </c>
      <c r="C222" s="24" t="str">
        <f>IFERROR(__xludf.DUMMYFUNCTION("""COMPUTED_VALUE"""),"Criciúma")</f>
        <v>Criciúma</v>
      </c>
      <c r="D222" s="24" t="str">
        <f>IFERROR(__xludf.DUMMYFUNCTION("""COMPUTED_VALUE"""),"UNESC")</f>
        <v>UNESC</v>
      </c>
      <c r="E222" s="25">
        <f>IFERROR(__xludf.DUMMYFUNCTION("""COMPUTED_VALUE"""),2019.0)</f>
        <v>2019</v>
      </c>
      <c r="F222" s="24" t="str">
        <f>IFERROR(__xludf.DUMMYFUNCTION("""COMPUTED_VALUE"""),"Arte – Cultura Regional – Catálogos; Artistas – Santa Catarina – Catálogos")</f>
        <v>Arte – Cultura Regional – Catálogos; Artistas – Santa Catarina – Catálogos</v>
      </c>
      <c r="G222" s="26"/>
      <c r="H222" s="29" t="str">
        <f>IFERROR(__xludf.DUMMYFUNCTION("""COMPUTED_VALUE"""),"http://repositorio.unesc.net/handle/1/6994")</f>
        <v>http://repositorio.unesc.net/handle/1/6994</v>
      </c>
      <c r="I222" s="24" t="str">
        <f>IFERROR(__xludf.DUMMYFUNCTION("""COMPUTED_VALUE"""),"Lingüística Letras e Artes")</f>
        <v>Lingüística Letras e Artes</v>
      </c>
    </row>
    <row r="223">
      <c r="A223" s="24" t="str">
        <f>IFERROR(__xludf.DUMMYFUNCTION("""COMPUTED_VALUE"""),"Imagens-textos: ensaios sobre cinema e psicanálise")</f>
        <v>Imagens-textos: ensaios sobre cinema e psicanálise</v>
      </c>
      <c r="B223" s="24" t="str">
        <f>IFERROR(__xludf.DUMMYFUNCTION("""COMPUTED_VALUE"""),"Weinmann, Amadeu de Oliveira; Sousa, Edson Luiz Andre de; Froemming, Liliane Seide")</f>
        <v>Weinmann, Amadeu de Oliveira; Sousa, Edson Luiz Andre de; Froemming, Liliane Seide</v>
      </c>
      <c r="C223" s="24" t="str">
        <f>IFERROR(__xludf.DUMMYFUNCTION("""COMPUTED_VALUE"""),"Porto Alegre")</f>
        <v>Porto Alegre</v>
      </c>
      <c r="D223" s="24" t="str">
        <f>IFERROR(__xludf.DUMMYFUNCTION("""COMPUTED_VALUE"""),"UFRGS")</f>
        <v>UFRGS</v>
      </c>
      <c r="E223" s="25">
        <f>IFERROR(__xludf.DUMMYFUNCTION("""COMPUTED_VALUE"""),2017.0)</f>
        <v>2017</v>
      </c>
      <c r="F223" s="24" t="str">
        <f>IFERROR(__xludf.DUMMYFUNCTION("""COMPUTED_VALUE"""),"Cinema : Crítica e interpretação; Psicanalise e cinema")</f>
        <v>Cinema : Crítica e interpretação; Psicanalise e cinema</v>
      </c>
      <c r="G223" s="28" t="str">
        <f>IFERROR(__xludf.DUMMYFUNCTION("""COMPUTED_VALUE"""),"9788538603665")</f>
        <v>9788538603665</v>
      </c>
      <c r="H223" s="29" t="str">
        <f>IFERROR(__xludf.DUMMYFUNCTION("""COMPUTED_VALUE"""),"http://hdl.handle.net/10183/213173")</f>
        <v>http://hdl.handle.net/10183/213173</v>
      </c>
      <c r="I223" s="24" t="str">
        <f>IFERROR(__xludf.DUMMYFUNCTION("""COMPUTED_VALUE"""),"Lingüística Letras e Artes")</f>
        <v>Lingüística Letras e Artes</v>
      </c>
    </row>
    <row r="224">
      <c r="A224" s="24" t="str">
        <f>IFERROR(__xludf.DUMMYFUNCTION("""COMPUTED_VALUE"""),"Imaginário e representação na pintura de Lídia Baís")</f>
        <v>Imaginário e representação na pintura de Lídia Baís</v>
      </c>
      <c r="B224" s="24" t="str">
        <f>IFERROR(__xludf.DUMMYFUNCTION("""COMPUTED_VALUE"""),"Paulo Roberto Rigotti")</f>
        <v>Paulo Roberto Rigotti</v>
      </c>
      <c r="C224" s="24" t="str">
        <f>IFERROR(__xludf.DUMMYFUNCTION("""COMPUTED_VALUE"""),"Dourados, MS")</f>
        <v>Dourados, MS</v>
      </c>
      <c r="D224" s="24" t="str">
        <f>IFERROR(__xludf.DUMMYFUNCTION("""COMPUTED_VALUE"""),"UEMS/UFGD")</f>
        <v>UEMS/UFGD</v>
      </c>
      <c r="E224" s="25">
        <f>IFERROR(__xludf.DUMMYFUNCTION("""COMPUTED_VALUE"""),2009.0)</f>
        <v>2009</v>
      </c>
      <c r="F224" s="24" t="str">
        <f>IFERROR(__xludf.DUMMYFUNCTION("""COMPUTED_VALUE"""),"Artes plásticas - Mato Grosso do Sul - História e crítica; Baís, Lídia, 1900-198")</f>
        <v>Artes plásticas - Mato Grosso do Sul - História e crítica; Baís, Lídia, 1900-198</v>
      </c>
      <c r="G224" s="28" t="str">
        <f>IFERROR(__xludf.DUMMYFUNCTION("""COMPUTED_VALUE"""),"9788561228330")</f>
        <v>9788561228330</v>
      </c>
      <c r="H224" s="29" t="str">
        <f>IFERROR(__xludf.DUMMYFUNCTION("""COMPUTED_VALUE"""),"http://omp.ufgd.edu.br/omp/index.php/livrosabertos/catalog/view/122/221/502-1")</f>
        <v>http://omp.ufgd.edu.br/omp/index.php/livrosabertos/catalog/view/122/221/502-1</v>
      </c>
      <c r="I224" s="24" t="str">
        <f>IFERROR(__xludf.DUMMYFUNCTION("""COMPUTED_VALUE"""),"Lingüística Letras e Artes")</f>
        <v>Lingüística Letras e Artes</v>
      </c>
    </row>
    <row r="225">
      <c r="A225" s="24" t="str">
        <f>IFERROR(__xludf.DUMMYFUNCTION("""COMPUTED_VALUE"""),"Imaginário na Amazônia: os diálogos entre história e literatura")</f>
        <v>Imaginário na Amazônia: os diálogos entre história e literatura</v>
      </c>
      <c r="B225" s="24" t="str">
        <f>IFERROR(__xludf.DUMMYFUNCTION("""COMPUTED_VALUE"""),"Francielle Maria Modesto Mendes")</f>
        <v>Francielle Maria Modesto Mendes</v>
      </c>
      <c r="C225" s="24" t="str">
        <f>IFERROR(__xludf.DUMMYFUNCTION("""COMPUTED_VALUE"""),"Rio Branco")</f>
        <v>Rio Branco</v>
      </c>
      <c r="D225" s="24" t="str">
        <f>IFERROR(__xludf.DUMMYFUNCTION("""COMPUTED_VALUE"""),"Edufac")</f>
        <v>Edufac</v>
      </c>
      <c r="E225" s="25">
        <f>IFERROR(__xludf.DUMMYFUNCTION("""COMPUTED_VALUE"""),2016.0)</f>
        <v>2016</v>
      </c>
      <c r="F225" s="24" t="str">
        <f>IFERROR(__xludf.DUMMYFUNCTION("""COMPUTED_VALUE"""),"História – Literatura – Amazônia; Literatura – História e crítica – Amazônia")</f>
        <v>História – Literatura – Amazônia; Literatura – História e crítica – Amazônia</v>
      </c>
      <c r="G225" s="28" t="str">
        <f>IFERROR(__xludf.DUMMYFUNCTION("""COMPUTED_VALUE"""),"9788582360217")</f>
        <v>9788582360217</v>
      </c>
      <c r="H225" s="29" t="str">
        <f>IFERROR(__xludf.DUMMYFUNCTION("""COMPUTED_VALUE"""),"http://www2.ufac.br/editora/livros/imaginario-na-amazonia.pdf")</f>
        <v>http://www2.ufac.br/editora/livros/imaginario-na-amazonia.pdf</v>
      </c>
      <c r="I225" s="24" t="str">
        <f>IFERROR(__xludf.DUMMYFUNCTION("""COMPUTED_VALUE"""),"Lingüística Letras e Artes")</f>
        <v>Lingüística Letras e Artes</v>
      </c>
    </row>
    <row r="226">
      <c r="A226" s="24" t="str">
        <f>IFERROR(__xludf.DUMMYFUNCTION("""COMPUTED_VALUE"""),"Incursões da lingüística no século XX com foco na lingüística textual")</f>
        <v>Incursões da lingüística no século XX com foco na lingüística textual</v>
      </c>
      <c r="B226" s="24" t="str">
        <f>IFERROR(__xludf.DUMMYFUNCTION("""COMPUTED_VALUE"""),"Lícia Maria Bahia Heine e Palmira Virgínia Heine Alvarez")</f>
        <v>Lícia Maria Bahia Heine e Palmira Virgínia Heine Alvarez</v>
      </c>
      <c r="C226" s="24" t="str">
        <f>IFERROR(__xludf.DUMMYFUNCTION("""COMPUTED_VALUE"""),"Salvador")</f>
        <v>Salvador</v>
      </c>
      <c r="D226" s="24" t="str">
        <f>IFERROR(__xludf.DUMMYFUNCTION("""COMPUTED_VALUE"""),"EDUFBA")</f>
        <v>EDUFBA</v>
      </c>
      <c r="E226" s="25">
        <f>IFERROR(__xludf.DUMMYFUNCTION("""COMPUTED_VALUE"""),2012.0)</f>
        <v>2012</v>
      </c>
      <c r="F226" s="24" t="str">
        <f>IFERROR(__xludf.DUMMYFUNCTION("""COMPUTED_VALUE"""),"Lingüística; Análise do discurso; Lingüística textual; Coesão")</f>
        <v>Lingüística; Análise do discurso; Lingüística textual; Coesão</v>
      </c>
      <c r="G226" s="28" t="str">
        <f>IFERROR(__xludf.DUMMYFUNCTION("""COMPUTED_VALUE"""),"9788523210045")</f>
        <v>9788523210045</v>
      </c>
      <c r="H226" s="29" t="str">
        <f>IFERROR(__xludf.DUMMYFUNCTION("""COMPUTED_VALUE"""),"https://repositorio.ufba.br/ri/handle/ri/6940")</f>
        <v>https://repositorio.ufba.br/ri/handle/ri/6940</v>
      </c>
      <c r="I226" s="24" t="str">
        <f>IFERROR(__xludf.DUMMYFUNCTION("""COMPUTED_VALUE"""),"Lingüística Letras e Artes")</f>
        <v>Lingüística Letras e Artes</v>
      </c>
    </row>
    <row r="227">
      <c r="A227" s="24" t="str">
        <f>IFERROR(__xludf.DUMMYFUNCTION("""COMPUTED_VALUE"""),"Interação, conceito e identidade em práticas sociais")</f>
        <v>Interação, conceito e identidade em práticas sociais</v>
      </c>
      <c r="B227" s="24" t="str">
        <f>IFERROR(__xludf.DUMMYFUNCTION("""COMPUTED_VALUE"""),"Fernando Afonso de Almeida e José Carlos Gonçalves.")</f>
        <v>Fernando Afonso de Almeida e José Carlos Gonçalves.</v>
      </c>
      <c r="C227" s="24" t="str">
        <f>IFERROR(__xludf.DUMMYFUNCTION("""COMPUTED_VALUE"""),"Niterói, RJ")</f>
        <v>Niterói, RJ</v>
      </c>
      <c r="D227" s="24" t="str">
        <f>IFERROR(__xludf.DUMMYFUNCTION("""COMPUTED_VALUE"""),"EDUFF")</f>
        <v>EDUFF</v>
      </c>
      <c r="E227" s="25">
        <f>IFERROR(__xludf.DUMMYFUNCTION("""COMPUTED_VALUE"""),2009.0)</f>
        <v>2009</v>
      </c>
      <c r="F227" s="24" t="str">
        <f>IFERROR(__xludf.DUMMYFUNCTION("""COMPUTED_VALUE"""),"Literatura; Ensino/aprendizagem de línguas")</f>
        <v>Literatura; Ensino/aprendizagem de línguas</v>
      </c>
      <c r="G227" s="28" t="str">
        <f>IFERROR(__xludf.DUMMYFUNCTION("""COMPUTED_VALUE"""),"9878522804900")</f>
        <v>9878522804900</v>
      </c>
      <c r="H227" s="29" t="str">
        <f>IFERROR(__xludf.DUMMYFUNCTION("""COMPUTED_VALUE"""),"http://bit.ly/Interacao-contexto-e-identidade")</f>
        <v>http://bit.ly/Interacao-contexto-e-identidade</v>
      </c>
      <c r="I227" s="24" t="str">
        <f>IFERROR(__xludf.DUMMYFUNCTION("""COMPUTED_VALUE"""),"Lingüística Letras e Artes")</f>
        <v>Lingüística Letras e Artes</v>
      </c>
    </row>
    <row r="228">
      <c r="A228" s="24" t="str">
        <f>IFERROR(__xludf.DUMMYFUNCTION("""COMPUTED_VALUE"""),"INTERCULTURALIDADE E ENSINO DE LÍNGUA ESTRANGEIRA: MOTIVAÇÃO À ORALIDADE EM LÍNGUA FRANCESA")</f>
        <v>INTERCULTURALIDADE E ENSINO DE LÍNGUA ESTRANGEIRA: MOTIVAÇÃO À ORALIDADE EM LÍNGUA FRANCESA</v>
      </c>
      <c r="B228" s="24" t="str">
        <f>IFERROR(__xludf.DUMMYFUNCTION("""COMPUTED_VALUE"""),"Sandra Helena Gurgel Dantas de Madeiros, Rosalina Maria Sales Chianca.")</f>
        <v>Sandra Helena Gurgel Dantas de Madeiros, Rosalina Maria Sales Chianca.</v>
      </c>
      <c r="C228" s="24" t="str">
        <f>IFERROR(__xludf.DUMMYFUNCTION("""COMPUTED_VALUE"""),"João Pessoa")</f>
        <v>João Pessoa</v>
      </c>
      <c r="D228" s="24" t="str">
        <f>IFERROR(__xludf.DUMMYFUNCTION("""COMPUTED_VALUE"""),"Editora da UFPB")</f>
        <v>Editora da UFPB</v>
      </c>
      <c r="E228" s="25">
        <f>IFERROR(__xludf.DUMMYFUNCTION("""COMPUTED_VALUE"""),2017.0)</f>
        <v>2017</v>
      </c>
      <c r="F228" s="24" t="str">
        <f>IFERROR(__xludf.DUMMYFUNCTION("""COMPUTED_VALUE"""),"Língua Francesa - Francês; Língua estrangeira")</f>
        <v>Língua Francesa - Francês; Língua estrangeira</v>
      </c>
      <c r="G228" s="28" t="str">
        <f>IFERROR(__xludf.DUMMYFUNCTION("""COMPUTED_VALUE"""),"9878612754")</f>
        <v>9878612754</v>
      </c>
      <c r="H228" s="29" t="str">
        <f>IFERROR(__xludf.DUMMYFUNCTION("""COMPUTED_VALUE"""),"http://www.editora.ufpb.br/sistema/press5/index.php/UFPB/catalog/book/109")</f>
        <v>http://www.editora.ufpb.br/sistema/press5/index.php/UFPB/catalog/book/109</v>
      </c>
      <c r="I228" s="24" t="str">
        <f>IFERROR(__xludf.DUMMYFUNCTION("""COMPUTED_VALUE"""),"Lingüística Letras e Artes")</f>
        <v>Lingüística Letras e Artes</v>
      </c>
    </row>
    <row r="229">
      <c r="A229" s="24" t="str">
        <f>IFERROR(__xludf.DUMMYFUNCTION("""COMPUTED_VALUE"""),"Interfaces culturais: the ventriloquist’s tale &amp; Macunaíma")</f>
        <v>Interfaces culturais: the ventriloquist’s tale &amp; Macunaíma</v>
      </c>
      <c r="B229" s="24" t="str">
        <f>IFERROR(__xludf.DUMMYFUNCTION("""COMPUTED_VALUE"""),"Leoné Astride Barzotto")</f>
        <v>Leoné Astride Barzotto</v>
      </c>
      <c r="C229" s="24" t="str">
        <f>IFERROR(__xludf.DUMMYFUNCTION("""COMPUTED_VALUE"""),"Dourados, MS")</f>
        <v>Dourados, MS</v>
      </c>
      <c r="D229" s="24" t="str">
        <f>IFERROR(__xludf.DUMMYFUNCTION("""COMPUTED_VALUE"""),"Ed. da UFGD")</f>
        <v>Ed. da UFGD</v>
      </c>
      <c r="E229" s="25">
        <f>IFERROR(__xludf.DUMMYFUNCTION("""COMPUTED_VALUE"""),2011.0)</f>
        <v>2011</v>
      </c>
      <c r="F229" s="24" t="str">
        <f>IFERROR(__xludf.DUMMYFUNCTION("""COMPUTED_VALUE"""),"Literatura – História e crítica; Discurso literário. Macunaíma")</f>
        <v>Literatura – História e crítica; Discurso literário. Macunaíma</v>
      </c>
      <c r="G229" s="28" t="str">
        <f>IFERROR(__xludf.DUMMYFUNCTION("""COMPUTED_VALUE"""),"9788561228927")</f>
        <v>9788561228927</v>
      </c>
      <c r="H229" s="29" t="str">
        <f>IFERROR(__xludf.DUMMYFUNCTION("""COMPUTED_VALUE"""),"http://omp.ufgd.edu.br/omp/index.php/livrosabertos/catalog/view/126/217/498-1")</f>
        <v>http://omp.ufgd.edu.br/omp/index.php/livrosabertos/catalog/view/126/217/498-1</v>
      </c>
      <c r="I229" s="24" t="str">
        <f>IFERROR(__xludf.DUMMYFUNCTION("""COMPUTED_VALUE"""),"Lingüística Letras e Artes")</f>
        <v>Lingüística Letras e Artes</v>
      </c>
    </row>
    <row r="230">
      <c r="A230" s="24" t="str">
        <f>IFERROR(__xludf.DUMMYFUNCTION("""COMPUTED_VALUE"""),"Interfaces: ensaios críticos sobre escritoras ")</f>
        <v>Interfaces: ensaios críticos sobre escritoras </v>
      </c>
      <c r="B230" s="24" t="str">
        <f>IFERROR(__xludf.DUMMYFUNCTION("""COMPUTED_VALUE"""),"Ivia Alves")</f>
        <v>Ivia Alves</v>
      </c>
      <c r="C230" s="24" t="str">
        <f>IFERROR(__xludf.DUMMYFUNCTION("""COMPUTED_VALUE"""),"Ilhéus, BA")</f>
        <v>Ilhéus, BA</v>
      </c>
      <c r="D230" s="24" t="str">
        <f>IFERROR(__xludf.DUMMYFUNCTION("""COMPUTED_VALUE"""),"Editus")</f>
        <v>Editus</v>
      </c>
      <c r="E230" s="25">
        <f>IFERROR(__xludf.DUMMYFUNCTION("""COMPUTED_VALUE"""),2005.0)</f>
        <v>2005</v>
      </c>
      <c r="F230" s="24" t="str">
        <f>IFERROR(__xludf.DUMMYFUNCTION("""COMPUTED_VALUE"""),"Ensaios brasileiros; Mulheres - Condições sociais; Mulheres e literatura")</f>
        <v>Ensaios brasileiros; Mulheres - Condições sociais; Mulheres e literatura</v>
      </c>
      <c r="G230" s="28" t="str">
        <f>IFERROR(__xludf.DUMMYFUNCTION("""COMPUTED_VALUE"""),"8574550973")</f>
        <v>8574550973</v>
      </c>
      <c r="H230" s="29" t="str">
        <f>IFERROR(__xludf.DUMMYFUNCTION("""COMPUTED_VALUE"""),"http://www.uesc.br/editora/livrosdigitais2015/inter_editusdigital.pdf")</f>
        <v>http://www.uesc.br/editora/livrosdigitais2015/inter_editusdigital.pdf</v>
      </c>
      <c r="I230" s="24" t="str">
        <f>IFERROR(__xludf.DUMMYFUNCTION("""COMPUTED_VALUE"""),"Lingüística Letras e Artes")</f>
        <v>Lingüística Letras e Artes</v>
      </c>
    </row>
    <row r="231">
      <c r="A231" s="24" t="str">
        <f>IFERROR(__xludf.DUMMYFUNCTION("""COMPUTED_VALUE"""),"Investigações nas práticas educativas da Arte")</f>
        <v>Investigações nas práticas educativas da Arte</v>
      </c>
      <c r="B231" s="24" t="str">
        <f>IFERROR(__xludf.DUMMYFUNCTION("""COMPUTED_VALUE"""),"Moema Martins Rebouças, Maria Gorete Dadalto Gonçalves, (org.)")</f>
        <v>Moema Martins Rebouças, Maria Gorete Dadalto Gonçalves, (org.)</v>
      </c>
      <c r="C231" s="24" t="str">
        <f>IFERROR(__xludf.DUMMYFUNCTION("""COMPUTED_VALUE"""),"Vitória")</f>
        <v>Vitória</v>
      </c>
      <c r="D231" s="24" t="str">
        <f>IFERROR(__xludf.DUMMYFUNCTION("""COMPUTED_VALUE"""),"EDUFES")</f>
        <v>EDUFES</v>
      </c>
      <c r="E231" s="25">
        <f>IFERROR(__xludf.DUMMYFUNCTION("""COMPUTED_VALUE"""),2013.0)</f>
        <v>2013</v>
      </c>
      <c r="F231" s="24" t="str">
        <f>IFERROR(__xludf.DUMMYFUNCTION("""COMPUTED_VALUE"""),"Arte; Estudo e ensino; Arte e educação")</f>
        <v>Arte; Estudo e ensino; Arte e educação</v>
      </c>
      <c r="G231" s="28" t="str">
        <f>IFERROR(__xludf.DUMMYFUNCTION("""COMPUTED_VALUE"""),"9788577721481")</f>
        <v>9788577721481</v>
      </c>
      <c r="H231" s="29" t="str">
        <f>IFERROR(__xludf.DUMMYFUNCTION("""COMPUTED_VALUE"""),"http://repositorio.ufes.br/handle/10/795")</f>
        <v>http://repositorio.ufes.br/handle/10/795</v>
      </c>
      <c r="I231" s="24" t="str">
        <f>IFERROR(__xludf.DUMMYFUNCTION("""COMPUTED_VALUE"""),"Lingüística Letras e Artes")</f>
        <v>Lingüística Letras e Artes</v>
      </c>
    </row>
    <row r="232">
      <c r="A232" s="24" t="str">
        <f>IFERROR(__xludf.DUMMYFUNCTION("""COMPUTED_VALUE"""),"Itan de boca a ouvido")</f>
        <v>Itan de boca a ouvido</v>
      </c>
      <c r="B232" s="24" t="str">
        <f>IFERROR(__xludf.DUMMYFUNCTION("""COMPUTED_VALUE"""),"Ruy do Carmo Póvoas")</f>
        <v>Ruy do Carmo Póvoas</v>
      </c>
      <c r="C232" s="24" t="str">
        <f>IFERROR(__xludf.DUMMYFUNCTION("""COMPUTED_VALUE"""),"Ilhéus, BA")</f>
        <v>Ilhéus, BA</v>
      </c>
      <c r="D232" s="24" t="str">
        <f>IFERROR(__xludf.DUMMYFUNCTION("""COMPUTED_VALUE"""),"UESC")</f>
        <v>UESC</v>
      </c>
      <c r="E232" s="25">
        <f>IFERROR(__xludf.DUMMYFUNCTION("""COMPUTED_VALUE"""),2004.0)</f>
        <v>2004</v>
      </c>
      <c r="F232" s="24" t="str">
        <f>IFERROR(__xludf.DUMMYFUNCTION("""COMPUTED_VALUE"""),"Contos brasileiros; Literatura brasileira")</f>
        <v>Contos brasileiros; Literatura brasileira</v>
      </c>
      <c r="G232" s="28" t="str">
        <f>IFERROR(__xludf.DUMMYFUNCTION("""COMPUTED_VALUE"""),"8574550736")</f>
        <v>8574550736</v>
      </c>
      <c r="H232" s="29" t="str">
        <f>IFERROR(__xludf.DUMMYFUNCTION("""COMPUTED_VALUE"""),"http://www.uesc.br/editora/livrosdigitais/itan_de_boca_a_ouvido.pdf")</f>
        <v>http://www.uesc.br/editora/livrosdigitais/itan_de_boca_a_ouvido.pdf</v>
      </c>
      <c r="I232" s="24" t="str">
        <f>IFERROR(__xludf.DUMMYFUNCTION("""COMPUTED_VALUE"""),"Lingüística Letras e Artes")</f>
        <v>Lingüística Letras e Artes</v>
      </c>
    </row>
    <row r="233">
      <c r="A233" s="24" t="str">
        <f>IFERROR(__xludf.DUMMYFUNCTION("""COMPUTED_VALUE"""),"Itan dos mais-velhos: (contos) ")</f>
        <v>Itan dos mais-velhos: (contos) </v>
      </c>
      <c r="B233" s="24" t="str">
        <f>IFERROR(__xludf.DUMMYFUNCTION("""COMPUTED_VALUE"""),"Ruy do Carmo Póvoas")</f>
        <v>Ruy do Carmo Póvoas</v>
      </c>
      <c r="C233" s="24" t="str">
        <f>IFERROR(__xludf.DUMMYFUNCTION("""COMPUTED_VALUE"""),"Ilhéus, BA")</f>
        <v>Ilhéus, BA</v>
      </c>
      <c r="D233" s="24" t="str">
        <f>IFERROR(__xludf.DUMMYFUNCTION("""COMPUTED_VALUE"""),"Editus")</f>
        <v>Editus</v>
      </c>
      <c r="E233" s="25">
        <f>IFERROR(__xludf.DUMMYFUNCTION("""COMPUTED_VALUE"""),2004.0)</f>
        <v>2004</v>
      </c>
      <c r="F233" s="24" t="str">
        <f>IFERROR(__xludf.DUMMYFUNCTION("""COMPUTED_VALUE"""),"Contos brasileiros; Literatura brasileira")</f>
        <v>Contos brasileiros; Literatura brasileira</v>
      </c>
      <c r="G233" s="28" t="str">
        <f>IFERROR(__xludf.DUMMYFUNCTION("""COMPUTED_VALUE"""),"8574550744")</f>
        <v>8574550744</v>
      </c>
      <c r="H233" s="29" t="str">
        <f>IFERROR(__xludf.DUMMYFUNCTION("""COMPUTED_VALUE"""),"http://www.uesc.br/editora/livrosdigitais/itan_dos_mais_velhos.pdf")</f>
        <v>http://www.uesc.br/editora/livrosdigitais/itan_dos_mais_velhos.pdf</v>
      </c>
      <c r="I233" s="24" t="str">
        <f>IFERROR(__xludf.DUMMYFUNCTION("""COMPUTED_VALUE"""),"Lingüística Letras e Artes")</f>
        <v>Lingüística Letras e Artes</v>
      </c>
    </row>
    <row r="234">
      <c r="A234" s="24" t="str">
        <f>IFERROR(__xludf.DUMMYFUNCTION("""COMPUTED_VALUE"""),"Itinerário no século: mudança, disciplina e ação em Alceu Amoroso Lima")</f>
        <v>Itinerário no século: mudança, disciplina e ação em Alceu Amoroso Lima</v>
      </c>
      <c r="B234" s="24" t="str">
        <f>IFERROR(__xludf.DUMMYFUNCTION("""COMPUTED_VALUE"""),"Marcelo Timotheo da Costa")</f>
        <v>Marcelo Timotheo da Costa</v>
      </c>
      <c r="C234" s="24" t="str">
        <f>IFERROR(__xludf.DUMMYFUNCTION("""COMPUTED_VALUE"""),"Rio de Janeiro")</f>
        <v>Rio de Janeiro</v>
      </c>
      <c r="D234" s="24" t="str">
        <f>IFERROR(__xludf.DUMMYFUNCTION("""COMPUTED_VALUE"""),"Editora PUC Rio")</f>
        <v>Editora PUC Rio</v>
      </c>
      <c r="E234" s="25">
        <f>IFERROR(__xludf.DUMMYFUNCTION("""COMPUTED_VALUE"""),2006.0)</f>
        <v>2006</v>
      </c>
      <c r="F234" s="24" t="str">
        <f>IFERROR(__xludf.DUMMYFUNCTION("""COMPUTED_VALUE"""),"Lima, Alceu Amoroso, 1893-1983 – Crítica e interpretação. Lima, Alceu Amoroso, 1893-1983-Bibliografia. Intelectuais cristãos")</f>
        <v>Lima, Alceu Amoroso, 1893-1983 – Crítica e interpretação. Lima, Alceu Amoroso, 1893-1983-Bibliografia. Intelectuais cristãos</v>
      </c>
      <c r="G234" s="28" t="str">
        <f>IFERROR(__xludf.DUMMYFUNCTION("""COMPUTED_VALUE"""),"8515032457")</f>
        <v>8515032457</v>
      </c>
      <c r="H234" s="29" t="str">
        <f>IFERROR(__xludf.DUMMYFUNCTION("""COMPUTED_VALUE"""),"http://www.editora.puc-rio.br/media/ebook_um_itinerario_no_seculo.pdf")</f>
        <v>http://www.editora.puc-rio.br/media/ebook_um_itinerario_no_seculo.pdf</v>
      </c>
      <c r="I234" s="24" t="str">
        <f>IFERROR(__xludf.DUMMYFUNCTION("""COMPUTED_VALUE"""),"Lingüística Letras e Artes")</f>
        <v>Lingüística Letras e Artes</v>
      </c>
    </row>
    <row r="235">
      <c r="A235" s="24" t="str">
        <f>IFERROR(__xludf.DUMMYFUNCTION("""COMPUTED_VALUE"""),"Itinerários")</f>
        <v>Itinerários</v>
      </c>
      <c r="B235" s="24" t="str">
        <f>IFERROR(__xludf.DUMMYFUNCTION("""COMPUTED_VALUE"""),"Ferreira, Thássio; Universidade Federal do Paraná")</f>
        <v>Ferreira, Thássio; Universidade Federal do Paraná</v>
      </c>
      <c r="C235" s="24" t="str">
        <f>IFERROR(__xludf.DUMMYFUNCTION("""COMPUTED_VALUE"""),"Curitiba")</f>
        <v>Curitiba</v>
      </c>
      <c r="D235" s="24" t="str">
        <f>IFERROR(__xludf.DUMMYFUNCTION("""COMPUTED_VALUE"""),"UFPR")</f>
        <v>UFPR</v>
      </c>
      <c r="E235" s="25">
        <f>IFERROR(__xludf.DUMMYFUNCTION("""COMPUTED_VALUE"""),2019.0)</f>
        <v>2019</v>
      </c>
      <c r="F235" s="24" t="str">
        <f>IFERROR(__xludf.DUMMYFUNCTION("""COMPUTED_VALUE"""),"Poesia brasileira; Ficção brasileira")</f>
        <v>Poesia brasileira; Ficção brasileira</v>
      </c>
      <c r="G235" s="28" t="str">
        <f>IFERROR(__xludf.DUMMYFUNCTION("""COMPUTED_VALUE"""),"9788584801824")</f>
        <v>9788584801824</v>
      </c>
      <c r="H235" s="29" t="str">
        <f>IFERROR(__xludf.DUMMYFUNCTION("""COMPUTED_VALUE"""),"https://hdl.handle.net/1884/63940")</f>
        <v>https://hdl.handle.net/1884/63940</v>
      </c>
      <c r="I235" s="24" t="str">
        <f>IFERROR(__xludf.DUMMYFUNCTION("""COMPUTED_VALUE"""),"Lingüística Letras e Artes")</f>
        <v>Lingüística Letras e Artes</v>
      </c>
    </row>
    <row r="236">
      <c r="A236" s="24" t="str">
        <f>IFERROR(__xludf.DUMMYFUNCTION("""COMPUTED_VALUE"""),"Joaquim Nabuco: a Voz da Abolição")</f>
        <v>Joaquim Nabuco: a Voz da Abolição</v>
      </c>
      <c r="B236" s="24" t="str">
        <f>IFERROR(__xludf.DUMMYFUNCTION("""COMPUTED_VALUE"""),"Lailson de Holanda Cavalcanti")</f>
        <v>Lailson de Holanda Cavalcanti</v>
      </c>
      <c r="C236" s="24" t="str">
        <f>IFERROR(__xludf.DUMMYFUNCTION("""COMPUTED_VALUE"""),"Recife")</f>
        <v>Recife</v>
      </c>
      <c r="D236" s="24" t="str">
        <f>IFERROR(__xludf.DUMMYFUNCTION("""COMPUTED_VALUE"""),"Fundação Joaquim Nabuco / Editora Massangana")</f>
        <v>Fundação Joaquim Nabuco / Editora Massangana</v>
      </c>
      <c r="E236" s="25">
        <f>IFERROR(__xludf.DUMMYFUNCTION("""COMPUTED_VALUE"""),2019.0)</f>
        <v>2019</v>
      </c>
      <c r="F236" s="24" t="str">
        <f>IFERROR(__xludf.DUMMYFUNCTION("""COMPUTED_VALUE"""),"Ficção brasileira; Joaquim Nabuco; Escravidão; Abolição")</f>
        <v>Ficção brasileira; Joaquim Nabuco; Escravidão; Abolição</v>
      </c>
      <c r="G236" s="28" t="str">
        <f>IFERROR(__xludf.DUMMYFUNCTION("""COMPUTED_VALUE"""),"9788570194695")</f>
        <v>9788570194695</v>
      </c>
      <c r="H236" s="29" t="str">
        <f>IFERROR(__xludf.DUMMYFUNCTION("""COMPUTED_VALUE"""),"https://www.fundaj.gov.br/images/stories/editora/livros/livro_a_Voz_da_abolicao.pdf")</f>
        <v>https://www.fundaj.gov.br/images/stories/editora/livros/livro_a_Voz_da_abolicao.pdf</v>
      </c>
      <c r="I236" s="24" t="str">
        <f>IFERROR(__xludf.DUMMYFUNCTION("""COMPUTED_VALUE"""),"Lingüística Letras e Artes")</f>
        <v>Lingüística Letras e Artes</v>
      </c>
    </row>
    <row r="237">
      <c r="A237" s="24" t="str">
        <f>IFERROR(__xludf.DUMMYFUNCTION("""COMPUTED_VALUE"""),"Ka'a: arte e natureza")</f>
        <v>Ka'a: arte e natureza</v>
      </c>
      <c r="B237" s="24" t="str">
        <f>IFERROR(__xludf.DUMMYFUNCTION("""COMPUTED_VALUE"""),"Garcia, Maria Amelia Bulhões; Rodriguez, Denis; Ballester, José Vicente ")</f>
        <v>Garcia, Maria Amelia Bulhões; Rodriguez, Denis; Ballester, José Vicente </v>
      </c>
      <c r="C237" s="24" t="str">
        <f>IFERROR(__xludf.DUMMYFUNCTION("""COMPUTED_VALUE"""),"Porto Alegre")</f>
        <v>Porto Alegre</v>
      </c>
      <c r="D237" s="24" t="str">
        <f>IFERROR(__xludf.DUMMYFUNCTION("""COMPUTED_VALUE"""),"UFRGS")</f>
        <v>UFRGS</v>
      </c>
      <c r="E237" s="25">
        <f>IFERROR(__xludf.DUMMYFUNCTION("""COMPUTED_VALUE"""),2020.0)</f>
        <v>2020</v>
      </c>
      <c r="F237" s="24" t="str">
        <f>IFERROR(__xludf.DUMMYFUNCTION("""COMPUTED_VALUE"""),"Arte : Natureza; Arte contemporânea; Artes; Residência artística")</f>
        <v>Arte : Natureza; Arte contemporânea; Artes; Residência artística</v>
      </c>
      <c r="G237" s="28" t="str">
        <f>IFERROR(__xludf.DUMMYFUNCTION("""COMPUTED_VALUE"""),"9786557250037")</f>
        <v>9786557250037</v>
      </c>
      <c r="H237" s="29" t="str">
        <f>IFERROR(__xludf.DUMMYFUNCTION("""COMPUTED_VALUE"""),"http://hdl.handle.net/10183/210493")</f>
        <v>http://hdl.handle.net/10183/210493</v>
      </c>
      <c r="I237" s="24" t="str">
        <f>IFERROR(__xludf.DUMMYFUNCTION("""COMPUTED_VALUE"""),"Lingüística Letras e Artes")</f>
        <v>Lingüística Letras e Artes</v>
      </c>
    </row>
    <row r="238">
      <c r="A238" s="24" t="str">
        <f>IFERROR(__xludf.DUMMYFUNCTION("""COMPUTED_VALUE"""),"Ka’aguy Póra’i")</f>
        <v>Ka’aguy Póra’i</v>
      </c>
      <c r="B238" s="24" t="str">
        <f>IFERROR(__xludf.DUMMYFUNCTION("""COMPUTED_VALUE"""),"Educadores Kaiowá e Guarani de Dourados (textos e ilustrações)")</f>
        <v>Educadores Kaiowá e Guarani de Dourados (textos e ilustrações)</v>
      </c>
      <c r="C238" s="24" t="str">
        <f>IFERROR(__xludf.DUMMYFUNCTION("""COMPUTED_VALUE"""),"Dourados, MS")</f>
        <v>Dourados, MS</v>
      </c>
      <c r="D238" s="24" t="str">
        <f>IFERROR(__xludf.DUMMYFUNCTION("""COMPUTED_VALUE"""),"Ed. da UFGD")</f>
        <v>Ed. da UFGD</v>
      </c>
      <c r="E238" s="25">
        <f>IFERROR(__xludf.DUMMYFUNCTION("""COMPUTED_VALUE"""),2017.0)</f>
        <v>2017</v>
      </c>
      <c r="F238" s="24" t="str">
        <f>IFERROR(__xludf.DUMMYFUNCTION("""COMPUTED_VALUE"""),"Etnografia; Letramento; Língua Guarani; Educação Guarani e Kaiowá; Literatura Indígena; Literatura infanto-juvenil")</f>
        <v>Etnografia; Letramento; Língua Guarani; Educação Guarani e Kaiowá; Literatura Indígena; Literatura infanto-juvenil</v>
      </c>
      <c r="G238" s="28" t="str">
        <f>IFERROR(__xludf.DUMMYFUNCTION("""COMPUTED_VALUE"""),"978858147")</f>
        <v>978858147</v>
      </c>
      <c r="H238" s="29" t="str">
        <f>IFERROR(__xludf.DUMMYFUNCTION("""COMPUTED_VALUE"""),"http://omp.ufgd.edu.br/omp/index.php/livrosabertos/catalog/view/128/215/496-1")</f>
        <v>http://omp.ufgd.edu.br/omp/index.php/livrosabertos/catalog/view/128/215/496-1</v>
      </c>
      <c r="I238" s="24" t="str">
        <f>IFERROR(__xludf.DUMMYFUNCTION("""COMPUTED_VALUE"""),"Lingüística Letras e Artes")</f>
        <v>Lingüística Letras e Artes</v>
      </c>
    </row>
    <row r="239">
      <c r="A239" s="24" t="str">
        <f>IFERROR(__xludf.DUMMYFUNCTION("""COMPUTED_VALUE"""),"Ka’arovapy")</f>
        <v>Ka’arovapy</v>
      </c>
      <c r="B239" s="24" t="str">
        <f>IFERROR(__xludf.DUMMYFUNCTION("""COMPUTED_VALUE"""),"Comitê Editorial Cone Sul Ação Saberes Indígenas na Escola.")</f>
        <v>Comitê Editorial Cone Sul Ação Saberes Indígenas na Escola.</v>
      </c>
      <c r="C239" s="24" t="str">
        <f>IFERROR(__xludf.DUMMYFUNCTION("""COMPUTED_VALUE"""),"Dourados, MS")</f>
        <v>Dourados, MS</v>
      </c>
      <c r="D239" s="24" t="str">
        <f>IFERROR(__xludf.DUMMYFUNCTION("""COMPUTED_VALUE"""),"Ed. da UFGD")</f>
        <v>Ed. da UFGD</v>
      </c>
      <c r="E239" s="25">
        <f>IFERROR(__xludf.DUMMYFUNCTION("""COMPUTED_VALUE"""),2019.0)</f>
        <v>2019</v>
      </c>
      <c r="F239" s="24" t="str">
        <f>IFERROR(__xludf.DUMMYFUNCTION("""COMPUTED_VALUE"""),"Literatura infantojuvenil indígena (Brasil); Índios Guarani Kaiwá - Literatura infantojuvenil; Literatura infantojuvenil brasileira - Escritores indígenas; Índios da América do Sul - Mitos e lendas")</f>
        <v>Literatura infantojuvenil indígena (Brasil); Índios Guarani Kaiwá - Literatura infantojuvenil; Literatura infantojuvenil brasileira - Escritores indígenas; Índios da América do Sul - Mitos e lendas</v>
      </c>
      <c r="G239" s="28" t="str">
        <f>IFERROR(__xludf.DUMMYFUNCTION("""COMPUTED_VALUE"""),"9788581471624")</f>
        <v>9788581471624</v>
      </c>
      <c r="H239" s="29" t="str">
        <f>IFERROR(__xludf.DUMMYFUNCTION("""COMPUTED_VALUE"""),"http://omp.ufgd.edu.br/omp/index.php/livrosabertos/catalog/view/129/214/495-1")</f>
        <v>http://omp.ufgd.edu.br/omp/index.php/livrosabertos/catalog/view/129/214/495-1</v>
      </c>
      <c r="I239" s="24" t="str">
        <f>IFERROR(__xludf.DUMMYFUNCTION("""COMPUTED_VALUE"""),"Lingüística Letras e Artes")</f>
        <v>Lingüística Letras e Artes</v>
      </c>
    </row>
    <row r="240">
      <c r="A240" s="24" t="str">
        <f>IFERROR(__xludf.DUMMYFUNCTION("""COMPUTED_VALUE"""),"Labismina: o monstro do mar ")</f>
        <v>Labismina: o monstro do mar </v>
      </c>
      <c r="B240" s="24" t="str">
        <f>IFERROR(__xludf.DUMMYFUNCTION("""COMPUTED_VALUE"""),"Leônidas Azevedo Filho; ilustrações Bruno Santana.")</f>
        <v>Leônidas Azevedo Filho; ilustrações Bruno Santana.</v>
      </c>
      <c r="C240" s="24" t="str">
        <f>IFERROR(__xludf.DUMMYFUNCTION("""COMPUTED_VALUE"""),"Ilhéus, BA")</f>
        <v>Ilhéus, BA</v>
      </c>
      <c r="D240" s="24" t="str">
        <f>IFERROR(__xludf.DUMMYFUNCTION("""COMPUTED_VALUE"""),"Editus")</f>
        <v>Editus</v>
      </c>
      <c r="E240" s="25">
        <f>IFERROR(__xludf.DUMMYFUNCTION("""COMPUTED_VALUE"""),2014.0)</f>
        <v>2014</v>
      </c>
      <c r="F240" s="24" t="str">
        <f>IFERROR(__xludf.DUMMYFUNCTION("""COMPUTED_VALUE"""),"Literatura Infantojuvenil")</f>
        <v>Literatura Infantojuvenil</v>
      </c>
      <c r="G240" s="28" t="str">
        <f>IFERROR(__xludf.DUMMYFUNCTION("""COMPUTED_VALUE"""),"9788574554082")</f>
        <v>9788574554082</v>
      </c>
      <c r="H240" s="29" t="str">
        <f>IFERROR(__xludf.DUMMYFUNCTION("""COMPUTED_VALUE"""),"http://www.uesc.br/editora/livrosdigitais2017/labismina.pdf")</f>
        <v>http://www.uesc.br/editora/livrosdigitais2017/labismina.pdf</v>
      </c>
      <c r="I240" s="24" t="str">
        <f>IFERROR(__xludf.DUMMYFUNCTION("""COMPUTED_VALUE"""),"Lingüística Letras e Artes")</f>
        <v>Lingüística Letras e Artes</v>
      </c>
    </row>
    <row r="241">
      <c r="A241" s="24" t="str">
        <f>IFERROR(__xludf.DUMMYFUNCTION("""COMPUTED_VALUE"""),"Lado a lado de Rui (1876 - 1923)")</f>
        <v>Lado a lado de Rui (1876 - 1923)</v>
      </c>
      <c r="B241" s="24" t="str">
        <f>IFERROR(__xludf.DUMMYFUNCTION("""COMPUTED_VALUE"""),"CARLOS VIANA BANDEIRA")</f>
        <v>CARLOS VIANA BANDEIRA</v>
      </c>
      <c r="C241" s="24" t="str">
        <f>IFERROR(__xludf.DUMMYFUNCTION("""COMPUTED_VALUE"""),"Rio de Janeiro")</f>
        <v>Rio de Janeiro</v>
      </c>
      <c r="D241" s="24" t="str">
        <f>IFERROR(__xludf.DUMMYFUNCTION("""COMPUTED_VALUE"""),"Fundação Casa de Rui Barbosa")</f>
        <v>Fundação Casa de Rui Barbosa</v>
      </c>
      <c r="E241" s="25">
        <f>IFERROR(__xludf.DUMMYFUNCTION("""COMPUTED_VALUE"""),1960.0)</f>
        <v>1960</v>
      </c>
      <c r="F241" s="24" t="str">
        <f>IFERROR(__xludf.DUMMYFUNCTION("""COMPUTED_VALUE"""),"Rui Barbosa, relatos")</f>
        <v>Rui Barbosa, relatos</v>
      </c>
      <c r="G241" s="26"/>
      <c r="H241" s="29" t="str">
        <f>IFERROR(__xludf.DUMMYFUNCTION("""COMPUTED_VALUE"""),"http://www.casaruibarbosa.gov.br/arquivos/file/Lado%20a%20lado%20de%20Rui%20OCR.pdf")</f>
        <v>http://www.casaruibarbosa.gov.br/arquivos/file/Lado%20a%20lado%20de%20Rui%20OCR.pdf</v>
      </c>
      <c r="I241" s="24" t="str">
        <f>IFERROR(__xludf.DUMMYFUNCTION("""COMPUTED_VALUE"""),"Lingüística Letras e Artes")</f>
        <v>Lingüística Letras e Artes</v>
      </c>
    </row>
    <row r="242">
      <c r="A242" s="24" t="str">
        <f>IFERROR(__xludf.DUMMYFUNCTION("""COMPUTED_VALUE"""),"Lais dos Bretões")</f>
        <v>Lais dos Bretões</v>
      </c>
      <c r="B242" s="24" t="str">
        <f>IFERROR(__xludf.DUMMYFUNCTION("""COMPUTED_VALUE"""),"Tradução: Antonio L. Furtado")</f>
        <v>Tradução: Antonio L. Furtado</v>
      </c>
      <c r="C242" s="24" t="str">
        <f>IFERROR(__xludf.DUMMYFUNCTION("""COMPUTED_VALUE"""),"Rio de Janeiro")</f>
        <v>Rio de Janeiro</v>
      </c>
      <c r="D242" s="24" t="str">
        <f>IFERROR(__xludf.DUMMYFUNCTION("""COMPUTED_VALUE"""),"Editora PUC Rio")</f>
        <v>Editora PUC Rio</v>
      </c>
      <c r="E242" s="25">
        <f>IFERROR(__xludf.DUMMYFUNCTION("""COMPUTED_VALUE"""),2013.0)</f>
        <v>2013</v>
      </c>
      <c r="F242" s="24" t="str">
        <f>IFERROR(__xludf.DUMMYFUNCTION("""COMPUTED_VALUE"""),"Poemas")</f>
        <v>Poemas</v>
      </c>
      <c r="G242" s="28" t="str">
        <f>IFERROR(__xludf.DUMMYFUNCTION("""COMPUTED_VALUE"""),"9788580061109")</f>
        <v>9788580061109</v>
      </c>
      <c r="H242" s="29" t="str">
        <f>IFERROR(__xludf.DUMMYFUNCTION("""COMPUTED_VALUE"""),"http://www.editora.puc-rio.br/media/ebook_laisdosbretoes.pdf")</f>
        <v>http://www.editora.puc-rio.br/media/ebook_laisdosbretoes.pdf</v>
      </c>
      <c r="I242" s="24" t="str">
        <f>IFERROR(__xludf.DUMMYFUNCTION("""COMPUTED_VALUE"""),"Lingüística Letras e Artes")</f>
        <v>Lingüística Letras e Artes</v>
      </c>
    </row>
    <row r="243">
      <c r="A243" s="24" t="str">
        <f>IFERROR(__xludf.DUMMYFUNCTION("""COMPUTED_VALUE"""),"LEA 10 anos de Brasil ")</f>
        <v>LEA 10 anos de Brasil </v>
      </c>
      <c r="B243" s="24" t="str">
        <f>IFERROR(__xludf.DUMMYFUNCTION("""COMPUTED_VALUE"""),"Tatiany Pertel Sabaini Dalben, Ticiana Grecco Zanon Moura")</f>
        <v>Tatiany Pertel Sabaini Dalben, Ticiana Grecco Zanon Moura</v>
      </c>
      <c r="C243" s="24" t="str">
        <f>IFERROR(__xludf.DUMMYFUNCTION("""COMPUTED_VALUE"""),"Ilhéus, BA")</f>
        <v>Ilhéus, BA</v>
      </c>
      <c r="D243" s="24" t="str">
        <f>IFERROR(__xludf.DUMMYFUNCTION("""COMPUTED_VALUE"""),"Editus")</f>
        <v>Editus</v>
      </c>
      <c r="E243" s="25">
        <f>IFERROR(__xludf.DUMMYFUNCTION("""COMPUTED_VALUE"""),2015.0)</f>
        <v>2015</v>
      </c>
      <c r="F243" s="24" t="str">
        <f>IFERROR(__xludf.DUMMYFUNCTION("""COMPUTED_VALUE"""),"Línguas – Estudo e ensino; Línguas estrangeiras – Estudo e ensino")</f>
        <v>Línguas – Estudo e ensino; Línguas estrangeiras – Estudo e ensino</v>
      </c>
      <c r="G243" s="28" t="str">
        <f>IFERROR(__xludf.DUMMYFUNCTION("""COMPUTED_VALUE"""),"9788574553962")</f>
        <v>9788574553962</v>
      </c>
      <c r="H243" s="29" t="str">
        <f>IFERROR(__xludf.DUMMYFUNCTION("""COMPUTED_VALUE"""),"http://www.uesc.br/editora/livrosdigitais2016/lea10_anos_brasil.pdf")</f>
        <v>http://www.uesc.br/editora/livrosdigitais2016/lea10_anos_brasil.pdf</v>
      </c>
      <c r="I243" s="24" t="str">
        <f>IFERROR(__xludf.DUMMYFUNCTION("""COMPUTED_VALUE"""),"Lingüística Letras e Artes")</f>
        <v>Lingüística Letras e Artes</v>
      </c>
    </row>
    <row r="244">
      <c r="A244" s="24" t="str">
        <f>IFERROR(__xludf.DUMMYFUNCTION("""COMPUTED_VALUE"""),"Leitura e produção textual ")</f>
        <v>Leitura e produção textual </v>
      </c>
      <c r="B244" s="24" t="str">
        <f>IFERROR(__xludf.DUMMYFUNCTION("""COMPUTED_VALUE"""),"Gessilene Silveira Kanthack, Eliuse Sousa Silva, organizadoras")</f>
        <v>Gessilene Silveira Kanthack, Eliuse Sousa Silva, organizadoras</v>
      </c>
      <c r="C244" s="24" t="str">
        <f>IFERROR(__xludf.DUMMYFUNCTION("""COMPUTED_VALUE"""),"Ilhéus, BA")</f>
        <v>Ilhéus, BA</v>
      </c>
      <c r="D244" s="24" t="str">
        <f>IFERROR(__xludf.DUMMYFUNCTION("""COMPUTED_VALUE"""),"Editus")</f>
        <v>Editus</v>
      </c>
      <c r="E244" s="25">
        <f>IFERROR(__xludf.DUMMYFUNCTION("""COMPUTED_VALUE"""),2012.0)</f>
        <v>2012</v>
      </c>
      <c r="F244" s="24" t="str">
        <f>IFERROR(__xludf.DUMMYFUNCTION("""COMPUTED_VALUE"""),"Leitura – Estudo e ensino – Coletânea; Produção Textual – Estudo e ensino – Coletânea")</f>
        <v>Leitura – Estudo e ensino – Coletânea; Produção Textual – Estudo e ensino – Coletânea</v>
      </c>
      <c r="G244" s="28" t="str">
        <f>IFERROR(__xludf.DUMMYFUNCTION("""COMPUTED_VALUE"""),"9788574552668")</f>
        <v>9788574552668</v>
      </c>
      <c r="H244" s="29" t="str">
        <f>IFERROR(__xludf.DUMMYFUNCTION("""COMPUTED_VALUE"""),"http://www.uesc.br/editora/livrosdigitais2015/leitura_e_producao_textual.pdf")</f>
        <v>http://www.uesc.br/editora/livrosdigitais2015/leitura_e_producao_textual.pdf</v>
      </c>
      <c r="I244" s="24" t="str">
        <f>IFERROR(__xludf.DUMMYFUNCTION("""COMPUTED_VALUE"""),"Lingüística Letras e Artes")</f>
        <v>Lingüística Letras e Artes</v>
      </c>
    </row>
    <row r="245">
      <c r="A245" s="24" t="str">
        <f>IFERROR(__xludf.DUMMYFUNCTION("""COMPUTED_VALUE"""),"Leitura e textos indígenas")</f>
        <v>Leitura e textos indígenas</v>
      </c>
      <c r="B245" s="24" t="str">
        <f>IFERROR(__xludf.DUMMYFUNCTION("""COMPUTED_VALUE"""),"Fábio Almeida de Carvalho; Isabel Maria Fonseca; Celino Alexandre Raposo (org.)")</f>
        <v>Fábio Almeida de Carvalho; Isabel Maria Fonseca; Celino Alexandre Raposo (org.)</v>
      </c>
      <c r="C245" s="24" t="str">
        <f>IFERROR(__xludf.DUMMYFUNCTION("""COMPUTED_VALUE"""),"Boa Vista ")</f>
        <v>Boa Vista </v>
      </c>
      <c r="D245" s="24" t="str">
        <f>IFERROR(__xludf.DUMMYFUNCTION("""COMPUTED_VALUE"""),"UFRR")</f>
        <v>UFRR</v>
      </c>
      <c r="E245" s="25">
        <f>IFERROR(__xludf.DUMMYFUNCTION("""COMPUTED_VALUE"""),2019.0)</f>
        <v>2019</v>
      </c>
      <c r="F245" s="24" t="str">
        <f>IFERROR(__xludf.DUMMYFUNCTION("""COMPUTED_VALUE"""),"Educação indígena; Formação de professores; Leitura; Bibliotecas escolares; Língua portuguesa")</f>
        <v>Educação indígena; Formação de professores; Leitura; Bibliotecas escolares; Língua portuguesa</v>
      </c>
      <c r="G245" s="28" t="str">
        <f>IFERROR(__xludf.DUMMYFUNCTION("""COMPUTED_VALUE"""),"9788582882399")</f>
        <v>9788582882399</v>
      </c>
      <c r="H245" s="29" t="str">
        <f>IFERROR(__xludf.DUMMYFUNCTION("""COMPUTED_VALUE"""),"http://ufrr.br/editora/index.php/editais?download=422")</f>
        <v>http://ufrr.br/editora/index.php/editais?download=422</v>
      </c>
      <c r="I245" s="24" t="str">
        <f>IFERROR(__xludf.DUMMYFUNCTION("""COMPUTED_VALUE"""),"Lingüística Letras e Artes")</f>
        <v>Lingüística Letras e Artes</v>
      </c>
    </row>
    <row r="246">
      <c r="A246" s="24" t="str">
        <f>IFERROR(__xludf.DUMMYFUNCTION("""COMPUTED_VALUE"""),"Leitura, escuta e interpretação")</f>
        <v>Leitura, escuta e interpretação</v>
      </c>
      <c r="B246" s="24" t="str">
        <f>IFERROR(__xludf.DUMMYFUNCTION("""COMPUTED_VALUE"""),"Chueke, Zélia; Rink, John")</f>
        <v>Chueke, Zélia; Rink, John</v>
      </c>
      <c r="C246" s="24" t="str">
        <f>IFERROR(__xludf.DUMMYFUNCTION("""COMPUTED_VALUE"""),"Curitiba")</f>
        <v>Curitiba</v>
      </c>
      <c r="D246" s="24" t="str">
        <f>IFERROR(__xludf.DUMMYFUNCTION("""COMPUTED_VALUE"""),"UFPR")</f>
        <v>UFPR</v>
      </c>
      <c r="E246" s="25">
        <f>IFERROR(__xludf.DUMMYFUNCTION("""COMPUTED_VALUE"""),2019.0)</f>
        <v>2019</v>
      </c>
      <c r="F246" s="24" t="str">
        <f>IFERROR(__xludf.DUMMYFUNCTION("""COMPUTED_VALUE"""),"Música - Análise, apreciação; Música - Interpretação; Música - Desempenho")</f>
        <v>Música - Análise, apreciação; Música - Interpretação; Música - Desempenho</v>
      </c>
      <c r="G246" s="28" t="str">
        <f>IFERROR(__xludf.DUMMYFUNCTION("""COMPUTED_VALUE"""),"9788584801862")</f>
        <v>9788584801862</v>
      </c>
      <c r="H246" s="29" t="str">
        <f>IFERROR(__xludf.DUMMYFUNCTION("""COMPUTED_VALUE"""),"https://hdl.handle.net/1884/63943")</f>
        <v>https://hdl.handle.net/1884/63943</v>
      </c>
      <c r="I246" s="24" t="str">
        <f>IFERROR(__xludf.DUMMYFUNCTION("""COMPUTED_VALUE"""),"Lingüística Letras e Artes")</f>
        <v>Lingüística Letras e Artes</v>
      </c>
    </row>
    <row r="247">
      <c r="A247" s="24" t="str">
        <f>IFERROR(__xludf.DUMMYFUNCTION("""COMPUTED_VALUE"""),"Levanta, mulher, e corre a roda dança, estética e diversidade no samba de roda de São Félix e Cachoeira")</f>
        <v>Levanta, mulher, e corre a roda dança, estética e diversidade no samba de roda de São Félix e Cachoeira</v>
      </c>
      <c r="B247" s="24" t="str">
        <f>IFERROR(__xludf.DUMMYFUNCTION("""COMPUTED_VALUE"""),"Daniela Maria Amoroso")</f>
        <v>Daniela Maria Amoroso</v>
      </c>
      <c r="C247" s="24" t="str">
        <f>IFERROR(__xludf.DUMMYFUNCTION("""COMPUTED_VALUE"""),"Salvador")</f>
        <v>Salvador</v>
      </c>
      <c r="D247" s="24" t="str">
        <f>IFERROR(__xludf.DUMMYFUNCTION("""COMPUTED_VALUE"""),"EDUFBA")</f>
        <v>EDUFBA</v>
      </c>
      <c r="E247" s="25">
        <f>IFERROR(__xludf.DUMMYFUNCTION("""COMPUTED_VALUE"""),2017.0)</f>
        <v>2017</v>
      </c>
      <c r="F247" s="24" t="str">
        <f>IFERROR(__xludf.DUMMYFUNCTION("""COMPUTED_VALUE"""),"Samba de roda; Dança; Cultura popular; Pluralismo cultural")</f>
        <v>Samba de roda; Dança; Cultura popular; Pluralismo cultural</v>
      </c>
      <c r="G247" s="28" t="str">
        <f>IFERROR(__xludf.DUMMYFUNCTION("""COMPUTED_VALUE"""),"9788523216207")</f>
        <v>9788523216207</v>
      </c>
      <c r="H247" s="29" t="str">
        <f>IFERROR(__xludf.DUMMYFUNCTION("""COMPUTED_VALUE"""),"http://repositorio.ufba.br/ri/handle/ri/24144")</f>
        <v>http://repositorio.ufba.br/ri/handle/ri/24144</v>
      </c>
      <c r="I247" s="24" t="str">
        <f>IFERROR(__xludf.DUMMYFUNCTION("""COMPUTED_VALUE"""),"Lingüística Letras e Artes")</f>
        <v>Lingüística Letras e Artes</v>
      </c>
    </row>
    <row r="248">
      <c r="A248" s="24" t="str">
        <f>IFERROR(__xludf.DUMMYFUNCTION("""COMPUTED_VALUE"""),"Lima Barreto e Dostoiévski: vozes dissonantes.")</f>
        <v>Lima Barreto e Dostoiévski: vozes dissonantes.</v>
      </c>
      <c r="B248" s="24" t="str">
        <f>IFERROR(__xludf.DUMMYFUNCTION("""COMPUTED_VALUE"""),"André Dias")</f>
        <v>André Dias</v>
      </c>
      <c r="C248" s="24" t="str">
        <f>IFERROR(__xludf.DUMMYFUNCTION("""COMPUTED_VALUE"""),"Niterói, RJ")</f>
        <v>Niterói, RJ</v>
      </c>
      <c r="D248" s="24" t="str">
        <f>IFERROR(__xludf.DUMMYFUNCTION("""COMPUTED_VALUE"""),"Editora da UFF")</f>
        <v>Editora da UFF</v>
      </c>
      <c r="E248" s="25">
        <f>IFERROR(__xludf.DUMMYFUNCTION("""COMPUTED_VALUE"""),2004.0)</f>
        <v>2004</v>
      </c>
      <c r="F248" s="24" t="str">
        <f>IFERROR(__xludf.DUMMYFUNCTION("""COMPUTED_VALUE"""),"Análise do discurso narrativo; Literatura comparada; Barreto, Lima, 1881-1922; Dostoiévski, Fiodor, 1821-188")</f>
        <v>Análise do discurso narrativo; Literatura comparada; Barreto, Lima, 1881-1922; Dostoiévski, Fiodor, 1821-188</v>
      </c>
      <c r="G248" s="28" t="str">
        <f>IFERROR(__xludf.DUMMYFUNCTION("""COMPUTED_VALUE"""),"9788522807697")</f>
        <v>9788522807697</v>
      </c>
      <c r="H248" s="29" t="str">
        <f>IFERROR(__xludf.DUMMYFUNCTION("""COMPUTED_VALUE"""),"https://bit.ly/Lima-Barreto-e-Dostoievski")</f>
        <v>https://bit.ly/Lima-Barreto-e-Dostoievski</v>
      </c>
      <c r="I248" s="24" t="str">
        <f>IFERROR(__xludf.DUMMYFUNCTION("""COMPUTED_VALUE"""),"Lingüística Letras e Artes")</f>
        <v>Lingüística Letras e Artes</v>
      </c>
    </row>
    <row r="249">
      <c r="A249" s="24" t="str">
        <f>IFERROR(__xludf.DUMMYFUNCTION("""COMPUTED_VALUE"""),"Lingua(gem): reflexões e perspectivas")</f>
        <v>Lingua(gem): reflexões e perspectivas</v>
      </c>
      <c r="B249" s="24" t="str">
        <f>IFERROR(__xludf.DUMMYFUNCTION("""COMPUTED_VALUE"""),"Organizadores Célia Assunção Figueiredo, Evandro Silva Martins, Luiz Carlos Travaglia, Waldenor Barros Moraes Filho")</f>
        <v>Organizadores Célia Assunção Figueiredo, Evandro Silva Martins, Luiz Carlos Travaglia, Waldenor Barros Moraes Filho</v>
      </c>
      <c r="C249" s="24" t="str">
        <f>IFERROR(__xludf.DUMMYFUNCTION("""COMPUTED_VALUE"""),"Uberlândia")</f>
        <v>Uberlândia</v>
      </c>
      <c r="D249" s="24" t="str">
        <f>IFERROR(__xludf.DUMMYFUNCTION("""COMPUTED_VALUE"""),"EDUFU")</f>
        <v>EDUFU</v>
      </c>
      <c r="E249" s="25">
        <f>IFERROR(__xludf.DUMMYFUNCTION("""COMPUTED_VALUE"""),2016.0)</f>
        <v>2016</v>
      </c>
      <c r="F249" s="24" t="str">
        <f>IFERROR(__xludf.DUMMYFUNCTION("""COMPUTED_VALUE"""),"Linguística. I. Figueiredo, Célia Assunção. II. Martins, Evandro Silva. III. Moraes Filho, Waldenor Barros. IV. Travaglia, Luiz Carlos. V. Universidade Federal de Uberlândia. VI. Título")</f>
        <v>Linguística. I. Figueiredo, Célia Assunção. II. Martins, Evandro Silva. III. Moraes Filho, Waldenor Barros. IV. Travaglia, Luiz Carlos. V. Universidade Federal de Uberlândia. VI. Título</v>
      </c>
      <c r="G249" s="28" t="str">
        <f>IFERROR(__xludf.DUMMYFUNCTION("""COMPUTED_VALUE"""),"9788570784391 (ebook)")</f>
        <v>9788570784391 (ebook)</v>
      </c>
      <c r="H249" s="29" t="str">
        <f>IFERROR(__xludf.DUMMYFUNCTION("""COMPUTED_VALUE"""),"http://www.edufu.ufu.br/sites/edufu.ufu.br/files/e-book_linguistica_in_focus_1_reimp_2016_0.pdf")</f>
        <v>http://www.edufu.ufu.br/sites/edufu.ufu.br/files/e-book_linguistica_in_focus_1_reimp_2016_0.pdf</v>
      </c>
      <c r="I249" s="24" t="str">
        <f>IFERROR(__xludf.DUMMYFUNCTION("""COMPUTED_VALUE"""),"Lingüística Letras e Artes")</f>
        <v>Lingüística Letras e Artes</v>
      </c>
    </row>
    <row r="250">
      <c r="A250" s="24" t="str">
        <f>IFERROR(__xludf.DUMMYFUNCTION("""COMPUTED_VALUE"""),"Linguagens visuais: literatura, artes, cultura")</f>
        <v>Linguagens visuais: literatura, artes, cultura</v>
      </c>
      <c r="B250" s="24" t="str">
        <f>IFERROR(__xludf.DUMMYFUNCTION("""COMPUTED_VALUE"""),"HEIDRUN KRIEGER OLINTO; KARL ERIK SCHØLLHAMMER; DANUSA DEPES PORTAS; (orgs.)")</f>
        <v>HEIDRUN KRIEGER OLINTO; KARL ERIK SCHØLLHAMMER; DANUSA DEPES PORTAS; (orgs.)</v>
      </c>
      <c r="C250" s="24" t="str">
        <f>IFERROR(__xludf.DUMMYFUNCTION("""COMPUTED_VALUE"""),"Rio de Janeiro")</f>
        <v>Rio de Janeiro</v>
      </c>
      <c r="D250" s="24" t="str">
        <f>IFERROR(__xludf.DUMMYFUNCTION("""COMPUTED_VALUE"""),"Editora PUC Rio")</f>
        <v>Editora PUC Rio</v>
      </c>
      <c r="E250" s="25">
        <f>IFERROR(__xludf.DUMMYFUNCTION("""COMPUTED_VALUE"""),2018.0)</f>
        <v>2018</v>
      </c>
      <c r="F250" s="24" t="str">
        <f>IFERROR(__xludf.DUMMYFUNCTION("""COMPUTED_VALUE"""),"Arte e literatura. Imagem na literatura. Cultura")</f>
        <v>Arte e literatura. Imagem na literatura. Cultura</v>
      </c>
      <c r="G250" s="28" t="str">
        <f>IFERROR(__xludf.DUMMYFUNCTION("""COMPUTED_VALUE"""),"9788580062366")</f>
        <v>9788580062366</v>
      </c>
      <c r="H250" s="29" t="str">
        <f>IFERROR(__xludf.DUMMYFUNCTION("""COMPUTED_VALUE"""),"http://www.editora.puc-rio.br/media/e-book%20FINAL_14_PUC_Linguagens_Visuais_fz%20(1).pdf")</f>
        <v>http://www.editora.puc-rio.br/media/e-book%20FINAL_14_PUC_Linguagens_Visuais_fz%20(1).pdf</v>
      </c>
      <c r="I250" s="24" t="str">
        <f>IFERROR(__xludf.DUMMYFUNCTION("""COMPUTED_VALUE"""),"Lingüística Letras e Artes")</f>
        <v>Lingüística Letras e Artes</v>
      </c>
    </row>
    <row r="251">
      <c r="A251" s="24" t="str">
        <f>IFERROR(__xludf.DUMMYFUNCTION("""COMPUTED_VALUE"""),"Linguística Aplicada: ensino, pesquisa e reflexões")</f>
        <v>Linguística Aplicada: ensino, pesquisa e reflexões</v>
      </c>
      <c r="B251" s="24" t="str">
        <f>IFERROR(__xludf.DUMMYFUNCTION("""COMPUTED_VALUE"""),"Aurélia Leal Lima Lyrio (org.)")</f>
        <v>Aurélia Leal Lima Lyrio (org.)</v>
      </c>
      <c r="C251" s="24" t="str">
        <f>IFERROR(__xludf.DUMMYFUNCTION("""COMPUTED_VALUE"""),"Vitória")</f>
        <v>Vitória</v>
      </c>
      <c r="D251" s="24" t="str">
        <f>IFERROR(__xludf.DUMMYFUNCTION("""COMPUTED_VALUE"""),"EDUFES")</f>
        <v>EDUFES</v>
      </c>
      <c r="E251" s="25">
        <f>IFERROR(__xludf.DUMMYFUNCTION("""COMPUTED_VALUE"""),2017.0)</f>
        <v>2017</v>
      </c>
      <c r="F251" s="24" t="str">
        <f>IFERROR(__xludf.DUMMYFUNCTION("""COMPUTED_VALUE"""),"Linguística aplicada; Linguística – Estudo e ensino")</f>
        <v>Linguística aplicada; Linguística – Estudo e ensino</v>
      </c>
      <c r="G251" s="28" t="str">
        <f>IFERROR(__xludf.DUMMYFUNCTION("""COMPUTED_VALUE"""),"9788577723652")</f>
        <v>9788577723652</v>
      </c>
      <c r="H251" s="29" t="str">
        <f>IFERROR(__xludf.DUMMYFUNCTION("""COMPUTED_VALUE"""),"http://repositorio.ufes.br/bitstream/10/6980/1/Livro%20Digital_Lingu%C3%ADstica%20Aplicada.pdf")</f>
        <v>http://repositorio.ufes.br/bitstream/10/6980/1/Livro%20Digital_Lingu%C3%ADstica%20Aplicada.pdf</v>
      </c>
      <c r="I251" s="24" t="str">
        <f>IFERROR(__xludf.DUMMYFUNCTION("""COMPUTED_VALUE"""),"Lingüística Letras e Artes")</f>
        <v>Lingüística Letras e Artes</v>
      </c>
    </row>
    <row r="252">
      <c r="A252" s="24" t="str">
        <f>IFERROR(__xludf.DUMMYFUNCTION("""COMPUTED_VALUE"""),"Linguística e ensino: teoria e método (disponível temporariamente)")</f>
        <v>Linguística e ensino: teoria e método (disponível temporariamente)</v>
      </c>
      <c r="B252" s="24" t="str">
        <f>IFERROR(__xludf.DUMMYFUNCTION("""COMPUTED_VALUE"""),"Denilson Pereira de Matos")</f>
        <v>Denilson Pereira de Matos</v>
      </c>
      <c r="C252" s="24" t="str">
        <f>IFERROR(__xludf.DUMMYFUNCTION("""COMPUTED_VALUE"""),"João Pessoa")</f>
        <v>João Pessoa</v>
      </c>
      <c r="D252" s="24" t="str">
        <f>IFERROR(__xludf.DUMMYFUNCTION("""COMPUTED_VALUE"""),"Editora da UFPB")</f>
        <v>Editora da UFPB</v>
      </c>
      <c r="E252" s="25">
        <f>IFERROR(__xludf.DUMMYFUNCTION("""COMPUTED_VALUE"""),2018.0)</f>
        <v>2018</v>
      </c>
      <c r="F252" s="24" t="str">
        <f>IFERROR(__xludf.DUMMYFUNCTION("""COMPUTED_VALUE"""),"Linguística. Línguas – Ensino aprendizagem. TIC’s – Ensino de línguas. Leitura e escrita")</f>
        <v>Linguística. Línguas – Ensino aprendizagem. TIC’s – Ensino de línguas. Leitura e escrita</v>
      </c>
      <c r="G252" s="28" t="str">
        <f>IFERROR(__xludf.DUMMYFUNCTION("""COMPUTED_VALUE"""),"9788523713829")</f>
        <v>9788523713829</v>
      </c>
      <c r="H252" s="29" t="str">
        <f>IFERROR(__xludf.DUMMYFUNCTION("""COMPUTED_VALUE"""),"http://www.editora.ufpb.br/sistema/press5/index.php/UFPB/catalog/book/307")</f>
        <v>http://www.editora.ufpb.br/sistema/press5/index.php/UFPB/catalog/book/307</v>
      </c>
      <c r="I252" s="24" t="str">
        <f>IFERROR(__xludf.DUMMYFUNCTION("""COMPUTED_VALUE"""),"Lingüística Letras e Artes")</f>
        <v>Lingüística Letras e Artes</v>
      </c>
    </row>
    <row r="253">
      <c r="A253" s="24" t="str">
        <f>IFERROR(__xludf.DUMMYFUNCTION("""COMPUTED_VALUE"""),"Lira à brasileira: erótica, poética, política")</f>
        <v>Lira à brasileira: erótica, poética, política</v>
      </c>
      <c r="B253" s="24" t="str">
        <f>IFERROR(__xludf.DUMMYFUNCTION("""COMPUTED_VALUE"""),"Wilberth Salgueiro")</f>
        <v>Wilberth Salgueiro</v>
      </c>
      <c r="C253" s="24" t="str">
        <f>IFERROR(__xludf.DUMMYFUNCTION("""COMPUTED_VALUE"""),"Vitória")</f>
        <v>Vitória</v>
      </c>
      <c r="D253" s="24" t="str">
        <f>IFERROR(__xludf.DUMMYFUNCTION("""COMPUTED_VALUE"""),"EDUFES")</f>
        <v>EDUFES</v>
      </c>
      <c r="E253" s="25">
        <f>IFERROR(__xludf.DUMMYFUNCTION("""COMPUTED_VALUE"""),2013.0)</f>
        <v>2013</v>
      </c>
      <c r="F253" s="24" t="str">
        <f>IFERROR(__xludf.DUMMYFUNCTION("""COMPUTED_VALUE"""),"Poesia brasileira; Crítica e interpretação; Poesia")</f>
        <v>Poesia brasileira; Crítica e interpretação; Poesia</v>
      </c>
      <c r="G253" s="28" t="str">
        <f>IFERROR(__xludf.DUMMYFUNCTION("""COMPUTED_VALUE"""),"9788577721474")</f>
        <v>9788577721474</v>
      </c>
      <c r="H253" s="29" t="str">
        <f>IFERROR(__xludf.DUMMYFUNCTION("""COMPUTED_VALUE"""),"http://repositorio.ufes.br/bitstream/10/796/1/livro%20edufes%20lira%20a%20brasileira%20erotica%20poetica%20politica.pdf")</f>
        <v>http://repositorio.ufes.br/bitstream/10/796/1/livro%20edufes%20lira%20a%20brasileira%20erotica%20poetica%20politica.pdf</v>
      </c>
      <c r="I253" s="24" t="str">
        <f>IFERROR(__xludf.DUMMYFUNCTION("""COMPUTED_VALUE"""),"Lingüística Letras e Artes")</f>
        <v>Lingüística Letras e Artes</v>
      </c>
    </row>
    <row r="254">
      <c r="A254" s="24" t="str">
        <f>IFERROR(__xludf.DUMMYFUNCTION("""COMPUTED_VALUE"""),"Lira Lírica")</f>
        <v>Lira Lírica</v>
      </c>
      <c r="B254" s="24" t="str">
        <f>IFERROR(__xludf.DUMMYFUNCTION("""COMPUTED_VALUE"""),"Olira Rodrigues; ")</f>
        <v>Olira Rodrigues; </v>
      </c>
      <c r="C254" s="24" t="str">
        <f>IFERROR(__xludf.DUMMYFUNCTION("""COMPUTED_VALUE"""),"Anápolis")</f>
        <v>Anápolis</v>
      </c>
      <c r="D254" s="24" t="str">
        <f>IFERROR(__xludf.DUMMYFUNCTION("""COMPUTED_VALUE"""),"UEG")</f>
        <v>UEG</v>
      </c>
      <c r="E254" s="25">
        <f>IFERROR(__xludf.DUMMYFUNCTION("""COMPUTED_VALUE"""),2019.0)</f>
        <v>2019</v>
      </c>
      <c r="F254" s="24" t="str">
        <f>IFERROR(__xludf.DUMMYFUNCTION("""COMPUTED_VALUE"""),"Poemas; Poemas líricos")</f>
        <v>Poemas; Poemas líricos</v>
      </c>
      <c r="G254" s="28" t="str">
        <f>IFERROR(__xludf.DUMMYFUNCTION("""COMPUTED_VALUE"""),"9788555820670")</f>
        <v>9788555820670</v>
      </c>
      <c r="H254" s="29" t="str">
        <f>IFERROR(__xludf.DUMMYFUNCTION("""COMPUTED_VALUE"""),"http://cdn.ueg.edu.br/source/editora_ueg/conteudo_compartilhado/11011/ebook_poesias_lira_lirica_2019.pdf")</f>
        <v>http://cdn.ueg.edu.br/source/editora_ueg/conteudo_compartilhado/11011/ebook_poesias_lira_lirica_2019.pdf</v>
      </c>
      <c r="I254" s="24" t="str">
        <f>IFERROR(__xludf.DUMMYFUNCTION("""COMPUTED_VALUE"""),"Lingüística Letras e Artes")</f>
        <v>Lingüística Letras e Artes</v>
      </c>
    </row>
    <row r="255">
      <c r="A255" s="24" t="str">
        <f>IFERROR(__xludf.DUMMYFUNCTION("""COMPUTED_VALUE"""),"Literalmente falando: sentido literal e metáfora na metalinguagem")</f>
        <v>Literalmente falando: sentido literal e metáfora na metalinguagem</v>
      </c>
      <c r="B255" s="24" t="str">
        <f>IFERROR(__xludf.DUMMYFUNCTION("""COMPUTED_VALUE"""),"Solange Coelho Vereza ")</f>
        <v>Solange Coelho Vereza </v>
      </c>
      <c r="C255" s="24" t="str">
        <f>IFERROR(__xludf.DUMMYFUNCTION("""COMPUTED_VALUE"""),"Niterói, RJ")</f>
        <v>Niterói, RJ</v>
      </c>
      <c r="D255" s="24" t="str">
        <f>IFERROR(__xludf.DUMMYFUNCTION("""COMPUTED_VALUE"""),"EDUFF")</f>
        <v>EDUFF</v>
      </c>
      <c r="E255" s="25">
        <f>IFERROR(__xludf.DUMMYFUNCTION("""COMPUTED_VALUE"""),2007.0)</f>
        <v>2007</v>
      </c>
      <c r="F255" s="24" t="str">
        <f>IFERROR(__xludf.DUMMYFUNCTION("""COMPUTED_VALUE"""),"Lingüística; Linguagem")</f>
        <v>Lingüística; Linguagem</v>
      </c>
      <c r="G255" s="28" t="str">
        <f>IFERROR(__xludf.DUMMYFUNCTION("""COMPUTED_VALUE"""),"9788522804443")</f>
        <v>9788522804443</v>
      </c>
      <c r="H255" s="29" t="str">
        <f>IFERROR(__xludf.DUMMYFUNCTION("""COMPUTED_VALUE"""),"http://www.eduff.uff.br/ebooks/Literalmente-falando.pdf")</f>
        <v>http://www.eduff.uff.br/ebooks/Literalmente-falando.pdf</v>
      </c>
      <c r="I255" s="24" t="str">
        <f>IFERROR(__xludf.DUMMYFUNCTION("""COMPUTED_VALUE"""),"Lingüística Letras e Artes")</f>
        <v>Lingüística Letras e Artes</v>
      </c>
    </row>
    <row r="256">
      <c r="A256" s="24" t="str">
        <f>IFERROR(__xludf.DUMMYFUNCTION("""COMPUTED_VALUE"""),"Literatura &amp; Suicídio")</f>
        <v>Literatura &amp; Suicídio</v>
      </c>
      <c r="B256" s="24" t="str">
        <f>IFERROR(__xludf.DUMMYFUNCTION("""COMPUTED_VALUE"""),"Willian André; Lara Luiza Oliveira Amaral; Gabriel Pinezi (org.)")</f>
        <v>Willian André; Lara Luiza Oliveira Amaral; Gabriel Pinezi (org.)</v>
      </c>
      <c r="C256" s="24" t="str">
        <f>IFERROR(__xludf.DUMMYFUNCTION("""COMPUTED_VALUE"""),"Campo Mourão, PR")</f>
        <v>Campo Mourão, PR</v>
      </c>
      <c r="D256" s="24" t="str">
        <f>IFERROR(__xludf.DUMMYFUNCTION("""COMPUTED_VALUE"""),"Editora Fecilcam")</f>
        <v>Editora Fecilcam</v>
      </c>
      <c r="E256" s="25">
        <f>IFERROR(__xludf.DUMMYFUNCTION("""COMPUTED_VALUE"""),2020.0)</f>
        <v>2020</v>
      </c>
      <c r="F256" s="24" t="str">
        <f>IFERROR(__xludf.DUMMYFUNCTION("""COMPUTED_VALUE"""),"Suicídio na literatura. História e crítica")</f>
        <v>Suicídio na literatura. História e crítica</v>
      </c>
      <c r="G256" s="28" t="str">
        <f>IFERROR(__xludf.DUMMYFUNCTION("""COMPUTED_VALUE"""),"9788588753570")</f>
        <v>9788588753570</v>
      </c>
      <c r="H256" s="29" t="str">
        <f>IFERROR(__xludf.DUMMYFUNCTION("""COMPUTED_VALUE"""),"http://campomourao.unespar.edu.br/editora/obras-digitais/literatura-suicidio")</f>
        <v>http://campomourao.unespar.edu.br/editora/obras-digitais/literatura-suicidio</v>
      </c>
      <c r="I256" s="24" t="str">
        <f>IFERROR(__xludf.DUMMYFUNCTION("""COMPUTED_VALUE"""),"Lingüística Letras e Artes")</f>
        <v>Lingüística Letras e Artes</v>
      </c>
    </row>
    <row r="257">
      <c r="A257" s="24" t="str">
        <f>IFERROR(__xludf.DUMMYFUNCTION("""COMPUTED_VALUE"""),"Literatura brasileira em foco VIII: outras formas de escrita")</f>
        <v>Literatura brasileira em foco VIII: outras formas de escrita</v>
      </c>
      <c r="B257" s="24" t="str">
        <f>IFERROR(__xludf.DUMMYFUNCTION("""COMPUTED_VALUE"""),"organização Andréa Sirihal Werkema, Fátima Cristina Dias Rocha, Leonardo Davino de Oliveira. ")</f>
        <v>organização Andréa Sirihal Werkema, Fátima Cristina Dias Rocha, Leonardo Davino de Oliveira. </v>
      </c>
      <c r="C257" s="24" t="str">
        <f>IFERROR(__xludf.DUMMYFUNCTION("""COMPUTED_VALUE"""),"Rio de Janeiro, RJ")</f>
        <v>Rio de Janeiro, RJ</v>
      </c>
      <c r="D257" s="24" t="str">
        <f>IFERROR(__xludf.DUMMYFUNCTION("""COMPUTED_VALUE"""),"EdUERJ")</f>
        <v>EdUERJ</v>
      </c>
      <c r="E257" s="25">
        <f>IFERROR(__xludf.DUMMYFUNCTION("""COMPUTED_VALUE"""),2018.0)</f>
        <v>2018</v>
      </c>
      <c r="F257" s="24" t="str">
        <f>IFERROR(__xludf.DUMMYFUNCTION("""COMPUTED_VALUE"""),"Literatura brasileira; Literatura - História e crítica - Teoria,; etc")</f>
        <v>Literatura brasileira; Literatura - História e crítica - Teoria,; etc</v>
      </c>
      <c r="G257" s="28" t="str">
        <f>IFERROR(__xludf.DUMMYFUNCTION("""COMPUTED_VALUE"""),"9788575114872")</f>
        <v>9788575114872</v>
      </c>
      <c r="H257" s="29" t="str">
        <f>IFERROR(__xludf.DUMMYFUNCTION("""COMPUTED_VALUE"""),"http://books.scielo.org/id/rtwp3/pdf/werkema-9788575114872.pdf")</f>
        <v>http://books.scielo.org/id/rtwp3/pdf/werkema-9788575114872.pdf</v>
      </c>
      <c r="I257" s="24" t="str">
        <f>IFERROR(__xludf.DUMMYFUNCTION("""COMPUTED_VALUE"""),"Lingüística Letras e Artes")</f>
        <v>Lingüística Letras e Artes</v>
      </c>
    </row>
    <row r="258">
      <c r="A258" s="24" t="str">
        <f>IFERROR(__xludf.DUMMYFUNCTION("""COMPUTED_VALUE"""),"Literatura Cabo-verdiana: leituras universitárias")</f>
        <v>Literatura Cabo-verdiana: leituras universitárias</v>
      </c>
      <c r="B258" s="24" t="str">
        <f>IFERROR(__xludf.DUMMYFUNCTION("""COMPUTED_VALUE"""),"Simone Caputo Gomes; Antonio Aparecido Mantovani; Érica Antunes Pereira (org.)")</f>
        <v>Simone Caputo Gomes; Antonio Aparecido Mantovani; Érica Antunes Pereira (org.)</v>
      </c>
      <c r="C258" s="24" t="str">
        <f>IFERROR(__xludf.DUMMYFUNCTION("""COMPUTED_VALUE"""),"Cáceres")</f>
        <v>Cáceres</v>
      </c>
      <c r="D258" s="24" t="str">
        <f>IFERROR(__xludf.DUMMYFUNCTION("""COMPUTED_VALUE"""),"UNEMAT")</f>
        <v>UNEMAT</v>
      </c>
      <c r="E258" s="25">
        <f>IFERROR(__xludf.DUMMYFUNCTION("""COMPUTED_VALUE"""),2015.0)</f>
        <v>2015</v>
      </c>
      <c r="F258" s="24" t="str">
        <f>IFERROR(__xludf.DUMMYFUNCTION("""COMPUTED_VALUE"""),"Literatura Cabo-verdiana; Literatura Comparada; Letras")</f>
        <v>Literatura Cabo-verdiana; Literatura Comparada; Letras</v>
      </c>
      <c r="G258" s="28" t="str">
        <f>IFERROR(__xludf.DUMMYFUNCTION("""COMPUTED_VALUE"""),"9788579111457")</f>
        <v>9788579111457</v>
      </c>
      <c r="H258" s="29" t="str">
        <f>IFERROR(__xludf.DUMMYFUNCTION("""COMPUTED_VALUE"""),"http://www.unemat.br/reitoria/editora/downloads/eletronico/ebook_literatura_cabo_verdiana.pdf")</f>
        <v>http://www.unemat.br/reitoria/editora/downloads/eletronico/ebook_literatura_cabo_verdiana.pdf</v>
      </c>
      <c r="I258" s="24" t="str">
        <f>IFERROR(__xludf.DUMMYFUNCTION("""COMPUTED_VALUE"""),"Lingüística Letras e Artes")</f>
        <v>Lingüística Letras e Artes</v>
      </c>
    </row>
    <row r="259">
      <c r="A259" s="24" t="str">
        <f>IFERROR(__xludf.DUMMYFUNCTION("""COMPUTED_VALUE"""),"Literatura como objeto de desejo")</f>
        <v>Literatura como objeto de desejo</v>
      </c>
      <c r="B259" s="24" t="str">
        <f>IFERROR(__xludf.DUMMYFUNCTION("""COMPUTED_VALUE"""),"Claudio Cezar Henriques")</f>
        <v>Claudio Cezar Henriques</v>
      </c>
      <c r="C259" s="24" t="str">
        <f>IFERROR(__xludf.DUMMYFUNCTION("""COMPUTED_VALUE"""),"Rio de Janeiro")</f>
        <v>Rio de Janeiro</v>
      </c>
      <c r="D259" s="24" t="str">
        <f>IFERROR(__xludf.DUMMYFUNCTION("""COMPUTED_VALUE"""),"EdUERJ")</f>
        <v>EdUERJ</v>
      </c>
      <c r="E259" s="25">
        <f>IFERROR(__xludf.DUMMYFUNCTION("""COMPUTED_VALUE"""),2011.0)</f>
        <v>2011</v>
      </c>
      <c r="F259" s="24" t="str">
        <f>IFERROR(__xludf.DUMMYFUNCTION("""COMPUTED_VALUE"""),"Literatura; Filosofia; Estética;. Crítica")</f>
        <v>Literatura; Filosofia; Estética;. Crítica</v>
      </c>
      <c r="G259" s="28" t="str">
        <f>IFERROR(__xludf.DUMMYFUNCTION("""COMPUTED_VALUE"""),"9788575111956")</f>
        <v>9788575111956</v>
      </c>
      <c r="H259" s="29" t="str">
        <f>IFERROR(__xludf.DUMMYFUNCTION("""COMPUTED_VALUE"""),"https://www.eduerj.com/eng/?product=literatura-como-objeto-de-desejo-ebook")</f>
        <v>https://www.eduerj.com/eng/?product=literatura-como-objeto-de-desejo-ebook</v>
      </c>
      <c r="I259" s="24" t="str">
        <f>IFERROR(__xludf.DUMMYFUNCTION("""COMPUTED_VALUE"""),"Lingüística Letras e Artes")</f>
        <v>Lingüística Letras e Artes</v>
      </c>
    </row>
    <row r="260">
      <c r="A260" s="24" t="str">
        <f>IFERROR(__xludf.DUMMYFUNCTION("""COMPUTED_VALUE"""),"Literatura das pedras: a Fortaleza de São José de Macapá como locus das identidades amapaenses")</f>
        <v>Literatura das pedras: a Fortaleza de São José de Macapá como locus das identidades amapaenses</v>
      </c>
      <c r="B260" s="24" t="str">
        <f>IFERROR(__xludf.DUMMYFUNCTION("""COMPUTED_VALUE"""),"Fernando Canto")</f>
        <v>Fernando Canto</v>
      </c>
      <c r="C260" s="24" t="str">
        <f>IFERROR(__xludf.DUMMYFUNCTION("""COMPUTED_VALUE"""),"Macapá")</f>
        <v>Macapá</v>
      </c>
      <c r="D260" s="24" t="str">
        <f>IFERROR(__xludf.DUMMYFUNCTION("""COMPUTED_VALUE"""),"UNIFAP")</f>
        <v>UNIFAP</v>
      </c>
      <c r="E260" s="25">
        <f>IFERROR(__xludf.DUMMYFUNCTION("""COMPUTED_VALUE"""),2019.0)</f>
        <v>2019</v>
      </c>
      <c r="F260" s="24" t="str">
        <f>IFERROR(__xludf.DUMMYFUNCTION("""COMPUTED_VALUE"""),"Amapá; Identidade; Fortaleza de São José")</f>
        <v>Amapá; Identidade; Fortaleza de São José</v>
      </c>
      <c r="G260" s="28" t="str">
        <f>IFERROR(__xludf.DUMMYFUNCTION("""COMPUTED_VALUE"""),"9788554760793")</f>
        <v>9788554760793</v>
      </c>
      <c r="H260" s="29" t="str">
        <f>IFERROR(__xludf.DUMMYFUNCTION("""COMPUTED_VALUE"""),"https://www2.unifap.br/editora/files/2019/07/literatura-das-pedras.pdf")</f>
        <v>https://www2.unifap.br/editora/files/2019/07/literatura-das-pedras.pdf</v>
      </c>
      <c r="I260" s="24" t="str">
        <f>IFERROR(__xludf.DUMMYFUNCTION("""COMPUTED_VALUE"""),"Lingüística Letras e Artes")</f>
        <v>Lingüística Letras e Artes</v>
      </c>
    </row>
    <row r="261">
      <c r="A261" s="24" t="str">
        <f>IFERROR(__xludf.DUMMYFUNCTION("""COMPUTED_VALUE"""),"Literatura de Multidão e Intermidialidade")</f>
        <v>Literatura de Multidão e Intermidialidade</v>
      </c>
      <c r="B261" s="24" t="str">
        <f>IFERROR(__xludf.DUMMYFUNCTION("""COMPUTED_VALUE"""),"Luciano Barbosa Justino")</f>
        <v>Luciano Barbosa Justino</v>
      </c>
      <c r="C261" s="24" t="str">
        <f>IFERROR(__xludf.DUMMYFUNCTION("""COMPUTED_VALUE"""),"Campina Grande")</f>
        <v>Campina Grande</v>
      </c>
      <c r="D261" s="24" t="str">
        <f>IFERROR(__xludf.DUMMYFUNCTION("""COMPUTED_VALUE"""),"EDUEPB")</f>
        <v>EDUEPB</v>
      </c>
      <c r="E261" s="25">
        <f>IFERROR(__xludf.DUMMYFUNCTION("""COMPUTED_VALUE"""),2015.0)</f>
        <v>2015</v>
      </c>
      <c r="F261" s="24" t="str">
        <f>IFERROR(__xludf.DUMMYFUNCTION("""COMPUTED_VALUE"""),"Literatura. Escrever. Política. Democracia. Literatura de multidão. Crítica. Poética literária")</f>
        <v>Literatura. Escrever. Política. Democracia. Literatura de multidão. Crítica. Poética literária</v>
      </c>
      <c r="G261" s="28" t="str">
        <f>IFERROR(__xludf.DUMMYFUNCTION("""COMPUTED_VALUE"""),"9788578792404")</f>
        <v>9788578792404</v>
      </c>
      <c r="H261" s="29" t="str">
        <f>IFERROR(__xludf.DUMMYFUNCTION("""COMPUTED_VALUE"""),"http://eduepb.uepb.edu.br/download/literatura-de-multidao-e-intermidialidade/?wpdmdl=193&amp;amp;masterkey=5af99c20c3d2b")</f>
        <v>http://eduepb.uepb.edu.br/download/literatura-de-multidao-e-intermidialidade/?wpdmdl=193&amp;amp;masterkey=5af99c20c3d2b</v>
      </c>
      <c r="I261" s="24" t="str">
        <f>IFERROR(__xludf.DUMMYFUNCTION("""COMPUTED_VALUE"""),"Lingüística Letras e Artes")</f>
        <v>Lingüística Letras e Artes</v>
      </c>
    </row>
    <row r="262">
      <c r="A262" s="24" t="str">
        <f>IFERROR(__xludf.DUMMYFUNCTION("""COMPUTED_VALUE"""),"Literatura do cacau: ficção, ideologia e realidade em Adonias Filho, Euclides Neto, James Amado e Jorge Amado")</f>
        <v>Literatura do cacau: ficção, ideologia e realidade em Adonias Filho, Euclides Neto, James Amado e Jorge Amado</v>
      </c>
      <c r="B262" s="24" t="str">
        <f>IFERROR(__xludf.DUMMYFUNCTION("""COMPUTED_VALUE"""),"João Batista Cardoso")</f>
        <v>João Batista Cardoso</v>
      </c>
      <c r="C262" s="24" t="str">
        <f>IFERROR(__xludf.DUMMYFUNCTION("""COMPUTED_VALUE"""),"Ilhéus, BA")</f>
        <v>Ilhéus, BA</v>
      </c>
      <c r="D262" s="24" t="str">
        <f>IFERROR(__xludf.DUMMYFUNCTION("""COMPUTED_VALUE"""),"Editus")</f>
        <v>Editus</v>
      </c>
      <c r="E262" s="25">
        <f>IFERROR(__xludf.DUMMYFUNCTION("""COMPUTED_VALUE"""),2006.0)</f>
        <v>2006</v>
      </c>
      <c r="F262" s="24" t="str">
        <f>IFERROR(__xludf.DUMMYFUNCTION("""COMPUTED_VALUE"""),"Regionalismo na literatura - Bahia; Ficção brasileira; Adonias; Filho-Crítica e interpretação; Euclides Neto - Crítica e interpretação;Amado, James - Crítica e interpretação; Amado, Jorge - Crítica e interpretação")</f>
        <v>Regionalismo na literatura - Bahia; Ficção brasileira; Adonias; Filho-Crítica e interpretação; Euclides Neto - Crítica e interpretação;Amado, James - Crítica e interpretação; Amado, Jorge - Crítica e interpretação</v>
      </c>
      <c r="G262" s="28" t="str">
        <f>IFERROR(__xludf.DUMMYFUNCTION("""COMPUTED_VALUE"""),"8574550973")</f>
        <v>8574550973</v>
      </c>
      <c r="H262" s="29" t="str">
        <f>IFERROR(__xludf.DUMMYFUNCTION("""COMPUTED_VALUE"""),"http://www.uesc.br/editora/livrosdigitais2016/literatura_do_cacau.pdf")</f>
        <v>http://www.uesc.br/editora/livrosdigitais2016/literatura_do_cacau.pdf</v>
      </c>
      <c r="I262" s="24" t="str">
        <f>IFERROR(__xludf.DUMMYFUNCTION("""COMPUTED_VALUE"""),"Lingüística Letras e Artes")</f>
        <v>Lingüística Letras e Artes</v>
      </c>
    </row>
    <row r="263">
      <c r="A263" s="24" t="str">
        <f>IFERROR(__xludf.DUMMYFUNCTION("""COMPUTED_VALUE"""),"Literatura e artes na crítica contemporânea")</f>
        <v>Literatura e artes na crítica contemporânea</v>
      </c>
      <c r="B263" s="24" t="str">
        <f>IFERROR(__xludf.DUMMYFUNCTION("""COMPUTED_VALUE"""),"Heidrun Krieger Olinto; Karl Erik Schøllhammer; Mariana Simoni; Orgs.; ")</f>
        <v>Heidrun Krieger Olinto; Karl Erik Schøllhammer; Mariana Simoni; Orgs.; </v>
      </c>
      <c r="C263" s="24" t="str">
        <f>IFERROR(__xludf.DUMMYFUNCTION("""COMPUTED_VALUE"""),"Rio de Janeiro")</f>
        <v>Rio de Janeiro</v>
      </c>
      <c r="D263" s="24" t="str">
        <f>IFERROR(__xludf.DUMMYFUNCTION("""COMPUTED_VALUE"""),"Editora PUC Rio")</f>
        <v>Editora PUC Rio</v>
      </c>
      <c r="E263" s="25">
        <f>IFERROR(__xludf.DUMMYFUNCTION("""COMPUTED_VALUE"""),2016.0)</f>
        <v>2016</v>
      </c>
      <c r="F263" s="24" t="str">
        <f>IFERROR(__xludf.DUMMYFUNCTION("""COMPUTED_VALUE"""),"Crítica. Literatura. Crítica de arte")</f>
        <v>Crítica. Literatura. Crítica de arte</v>
      </c>
      <c r="G263" s="28" t="str">
        <f>IFERROR(__xludf.DUMMYFUNCTION("""COMPUTED_VALUE"""),"9788580062069")</f>
        <v>9788580062069</v>
      </c>
      <c r="H263" s="29" t="str">
        <f>IFERROR(__xludf.DUMMYFUNCTION("""COMPUTED_VALUE"""),"http://www.editora.puc-rio.br/media/ebook_literatura_artes_.pdf")</f>
        <v>http://www.editora.puc-rio.br/media/ebook_literatura_artes_.pdf</v>
      </c>
      <c r="I263" s="24" t="str">
        <f>IFERROR(__xludf.DUMMYFUNCTION("""COMPUTED_VALUE"""),"Lingüística Letras e Artes")</f>
        <v>Lingüística Letras e Artes</v>
      </c>
    </row>
    <row r="264">
      <c r="A264" s="24" t="str">
        <f>IFERROR(__xludf.DUMMYFUNCTION("""COMPUTED_VALUE"""),"Literatura e Cinema: da Semiótica a Tradução")</f>
        <v>Literatura e Cinema: da Semiótica a Tradução</v>
      </c>
      <c r="B264" s="24" t="str">
        <f>IFERROR(__xludf.DUMMYFUNCTION("""COMPUTED_VALUE"""),"Thais Flores Nogueira Diniz")</f>
        <v>Thais Flores Nogueira Diniz</v>
      </c>
      <c r="C264" s="24" t="str">
        <f>IFERROR(__xludf.DUMMYFUNCTION("""COMPUTED_VALUE"""),"Ouro Preto")</f>
        <v>Ouro Preto</v>
      </c>
      <c r="D264" s="24" t="str">
        <f>IFERROR(__xludf.DUMMYFUNCTION("""COMPUTED_VALUE"""),"UFOP")</f>
        <v>UFOP</v>
      </c>
      <c r="E264" s="25">
        <f>IFERROR(__xludf.DUMMYFUNCTION("""COMPUTED_VALUE"""),1999.0)</f>
        <v>1999</v>
      </c>
      <c r="F264" s="24" t="str">
        <f>IFERROR(__xludf.DUMMYFUNCTION("""COMPUTED_VALUE"""),"Literatura crítica. Cinema")</f>
        <v>Literatura crítica. Cinema</v>
      </c>
      <c r="G264" s="28" t="str">
        <f>IFERROR(__xludf.DUMMYFUNCTION("""COMPUTED_VALUE"""),"8528800261")</f>
        <v>8528800261</v>
      </c>
      <c r="H264" s="29" t="str">
        <f>IFERROR(__xludf.DUMMYFUNCTION("""COMPUTED_VALUE"""),"https://www.editora.ufop.br/index.php/editora/catalog/view/113/123/403-1")</f>
        <v>https://www.editora.ufop.br/index.php/editora/catalog/view/113/123/403-1</v>
      </c>
      <c r="I264" s="24" t="str">
        <f>IFERROR(__xludf.DUMMYFUNCTION("""COMPUTED_VALUE"""),"Lingüística Letras e Artes")</f>
        <v>Lingüística Letras e Artes</v>
      </c>
    </row>
    <row r="265">
      <c r="A265" s="24" t="str">
        <f>IFERROR(__xludf.DUMMYFUNCTION("""COMPUTED_VALUE"""),"Literatura e civilização em Portugal")</f>
        <v>Literatura e civilização em Portugal</v>
      </c>
      <c r="B265" s="24" t="str">
        <f>IFERROR(__xludf.DUMMYFUNCTION("""COMPUTED_VALUE"""),"Álvares de Azevedo, editado por Roberto Acízelo de Souza")</f>
        <v>Álvares de Azevedo, editado por Roberto Acízelo de Souza</v>
      </c>
      <c r="C265" s="24" t="str">
        <f>IFERROR(__xludf.DUMMYFUNCTION("""COMPUTED_VALUE"""),"Rio de Janeiro")</f>
        <v>Rio de Janeiro</v>
      </c>
      <c r="D265" s="24" t="str">
        <f>IFERROR(__xludf.DUMMYFUNCTION("""COMPUTED_VALUE"""),"Editora Caetés")</f>
        <v>Editora Caetés</v>
      </c>
      <c r="E265" s="25">
        <f>IFERROR(__xludf.DUMMYFUNCTION("""COMPUTED_VALUE"""),2016.0)</f>
        <v>2016</v>
      </c>
      <c r="F265" s="24" t="str">
        <f>IFERROR(__xludf.DUMMYFUNCTION("""COMPUTED_VALUE"""),"Literatura brasileira; História e crítica; Historiografia;. Romantismo")</f>
        <v>Literatura brasileira; História e crítica; Historiografia;. Romantismo</v>
      </c>
      <c r="G265" s="28" t="str">
        <f>IFERROR(__xludf.DUMMYFUNCTION("""COMPUTED_VALUE"""),"9788586478987")</f>
        <v>9788586478987</v>
      </c>
      <c r="H265" s="29" t="str">
        <f>IFERROR(__xludf.DUMMYFUNCTION("""COMPUTED_VALUE"""),"https://www.eduerj.com/eng/?product=literatura-e-civilizacao-em-portugal")</f>
        <v>https://www.eduerj.com/eng/?product=literatura-e-civilizacao-em-portugal</v>
      </c>
      <c r="I265" s="24" t="str">
        <f>IFERROR(__xludf.DUMMYFUNCTION("""COMPUTED_VALUE"""),"Lingüística Letras e Artes")</f>
        <v>Lingüística Letras e Artes</v>
      </c>
    </row>
    <row r="266">
      <c r="A266" s="24" t="str">
        <f>IFERROR(__xludf.DUMMYFUNCTION("""COMPUTED_VALUE"""),"Literatura e estudos culturais: ensaios")</f>
        <v>Literatura e estudos culturais: ensaios</v>
      </c>
      <c r="B266" s="24" t="str">
        <f>IFERROR(__xludf.DUMMYFUNCTION("""COMPUTED_VALUE"""),"organizadoras: Alexandra Santos Pinheiro, Zélia Nolasco dos Santos Freire")</f>
        <v>organizadoras: Alexandra Santos Pinheiro, Zélia Nolasco dos Santos Freire</v>
      </c>
      <c r="C266" s="24" t="str">
        <f>IFERROR(__xludf.DUMMYFUNCTION("""COMPUTED_VALUE"""),"Dourados, MS")</f>
        <v>Dourados, MS</v>
      </c>
      <c r="D266" s="24" t="str">
        <f>IFERROR(__xludf.DUMMYFUNCTION("""COMPUTED_VALUE"""),"Ed. da UFGD")</f>
        <v>Ed. da UFGD</v>
      </c>
      <c r="E266" s="25">
        <f>IFERROR(__xludf.DUMMYFUNCTION("""COMPUTED_VALUE"""),2014.0)</f>
        <v>2014</v>
      </c>
      <c r="F266" s="24" t="str">
        <f>IFERROR(__xludf.DUMMYFUNCTION("""COMPUTED_VALUE"""),"Literatura; Crítica literária. I")</f>
        <v>Literatura; Crítica literária. I</v>
      </c>
      <c r="G266" s="28" t="str">
        <f>IFERROR(__xludf.DUMMYFUNCTION("""COMPUTED_VALUE"""),"9788581470627")</f>
        <v>9788581470627</v>
      </c>
      <c r="H266" s="29" t="str">
        <f>IFERROR(__xludf.DUMMYFUNCTION("""COMPUTED_VALUE"""),"http://omp.ufgd.edu.br/omp/index.php/livrosabertos/catalog/view/135/208/489-3")</f>
        <v>http://omp.ufgd.edu.br/omp/index.php/livrosabertos/catalog/view/135/208/489-3</v>
      </c>
      <c r="I266" s="24" t="str">
        <f>IFERROR(__xludf.DUMMYFUNCTION("""COMPUTED_VALUE"""),"Lingüística Letras e Artes")</f>
        <v>Lingüística Letras e Artes</v>
      </c>
    </row>
    <row r="267">
      <c r="A267" s="24" t="str">
        <f>IFERROR(__xludf.DUMMYFUNCTION("""COMPUTED_VALUE"""),"Literatura e fronteira")</f>
        <v>Literatura e fronteira</v>
      </c>
      <c r="B267" s="24" t="str">
        <f>IFERROR(__xludf.DUMMYFUNCTION("""COMPUTED_VALUE"""),"Fábio Almeida de Carvalho; Roberto Mibielli; Isabel Maria Fonseca (org.)")</f>
        <v>Fábio Almeida de Carvalho; Roberto Mibielli; Isabel Maria Fonseca (org.)</v>
      </c>
      <c r="C267" s="24" t="str">
        <f>IFERROR(__xludf.DUMMYFUNCTION("""COMPUTED_VALUE"""),"Boa Vista ")</f>
        <v>Boa Vista </v>
      </c>
      <c r="D267" s="24" t="str">
        <f>IFERROR(__xludf.DUMMYFUNCTION("""COMPUTED_VALUE"""),"UFRR")</f>
        <v>UFRR</v>
      </c>
      <c r="E267" s="25">
        <f>IFERROR(__xludf.DUMMYFUNCTION("""COMPUTED_VALUE"""),2017.0)</f>
        <v>2017</v>
      </c>
      <c r="F267" s="24" t="str">
        <f>IFERROR(__xludf.DUMMYFUNCTION("""COMPUTED_VALUE"""),"Literatura brasileira; Amazônia; Fronterira; Regionalismo; Roraima")</f>
        <v>Literatura brasileira; Amazônia; Fronterira; Regionalismo; Roraima</v>
      </c>
      <c r="G267" s="28" t="str">
        <f>IFERROR(__xludf.DUMMYFUNCTION("""COMPUTED_VALUE"""),"9788582882429")</f>
        <v>9788582882429</v>
      </c>
      <c r="H267" s="29" t="str">
        <f>IFERROR(__xludf.DUMMYFUNCTION("""COMPUTED_VALUE"""),"http://ufrr.br/editora/index.php/editais?download=431")</f>
        <v>http://ufrr.br/editora/index.php/editais?download=431</v>
      </c>
      <c r="I267" s="24" t="str">
        <f>IFERROR(__xludf.DUMMYFUNCTION("""COMPUTED_VALUE"""),"Lingüística Letras e Artes")</f>
        <v>Lingüística Letras e Artes</v>
      </c>
    </row>
    <row r="268">
      <c r="A268" s="24" t="str">
        <f>IFERROR(__xludf.DUMMYFUNCTION("""COMPUTED_VALUE"""),"Literatura e linguística: práticas de interculturalidade no Mato Grosso do Sul. ")</f>
        <v>Literatura e linguística: práticas de interculturalidade no Mato Grosso do Sul. </v>
      </c>
      <c r="B268" s="24" t="str">
        <f>IFERROR(__xludf.DUMMYFUNCTION("""COMPUTED_VALUE"""),"(org.) Marcos Lúcio de Sousa Góis, Paulo Sérgio Nolasco dos Santos")</f>
        <v>(org.) Marcos Lúcio de Sousa Góis, Paulo Sérgio Nolasco dos Santos</v>
      </c>
      <c r="C268" s="24" t="str">
        <f>IFERROR(__xludf.DUMMYFUNCTION("""COMPUTED_VALUE"""),"Dourados, MS")</f>
        <v>Dourados, MS</v>
      </c>
      <c r="D268" s="24" t="str">
        <f>IFERROR(__xludf.DUMMYFUNCTION("""COMPUTED_VALUE"""),"Ed. da UFGD")</f>
        <v>Ed. da UFGD</v>
      </c>
      <c r="E268" s="25">
        <f>IFERROR(__xludf.DUMMYFUNCTION("""COMPUTED_VALUE"""),2011.0)</f>
        <v>2011</v>
      </c>
      <c r="F268" s="24" t="str">
        <f>IFERROR(__xludf.DUMMYFUNCTION("""COMPUTED_VALUE"""),"Mato Grosso do sul – Aspectos literários; Literatura; Linguística; Línguas e linguagem")</f>
        <v>Mato Grosso do sul – Aspectos literários; Literatura; Linguística; Línguas e linguagem</v>
      </c>
      <c r="G268" s="28" t="str">
        <f>IFERROR(__xludf.DUMMYFUNCTION("""COMPUTED_VALUE"""),"9788561228774")</f>
        <v>9788561228774</v>
      </c>
      <c r="H268" s="29" t="str">
        <f>IFERROR(__xludf.DUMMYFUNCTION("""COMPUTED_VALUE"""),"http://omp.ufgd.edu.br/omp/index.php/livrosabertos/catalog/view/136/207/488-1")</f>
        <v>http://omp.ufgd.edu.br/omp/index.php/livrosabertos/catalog/view/136/207/488-1</v>
      </c>
      <c r="I268" s="24" t="str">
        <f>IFERROR(__xludf.DUMMYFUNCTION("""COMPUTED_VALUE"""),"Lingüística Letras e Artes")</f>
        <v>Lingüística Letras e Artes</v>
      </c>
    </row>
    <row r="269">
      <c r="A269" s="24" t="str">
        <f>IFERROR(__xludf.DUMMYFUNCTION("""COMPUTED_VALUE"""),"Literatura e política no Estado Novo: os concursos literários promovidos pelo Ministério do Trabalho, Indústria e Comércio em 1942 e 1944")</f>
        <v>Literatura e política no Estado Novo: os concursos literários promovidos pelo Ministério do Trabalho, Indústria e Comércio em 1942 e 1944</v>
      </c>
      <c r="B269" s="24" t="str">
        <f>IFERROR(__xludf.DUMMYFUNCTION("""COMPUTED_VALUE"""),"Duarte, Adriano Luiz (org.)")</f>
        <v>Duarte, Adriano Luiz (org.)</v>
      </c>
      <c r="C269" s="24" t="str">
        <f>IFERROR(__xludf.DUMMYFUNCTION("""COMPUTED_VALUE"""),"Florianópolis")</f>
        <v>Florianópolis</v>
      </c>
      <c r="D269" s="24" t="str">
        <f>IFERROR(__xludf.DUMMYFUNCTION("""COMPUTED_VALUE"""),"Editora da UFSC")</f>
        <v>Editora da UFSC</v>
      </c>
      <c r="E269" s="25">
        <f>IFERROR(__xludf.DUMMYFUNCTION("""COMPUTED_VALUE"""),2019.0)</f>
        <v>2019</v>
      </c>
      <c r="F269" s="24" t="str">
        <f>IFERROR(__xludf.DUMMYFUNCTION("""COMPUTED_VALUE"""),"Literatura;Brasil;História;Política")</f>
        <v>Literatura;Brasil;História;Política</v>
      </c>
      <c r="G269" s="28" t="str">
        <f>IFERROR(__xludf.DUMMYFUNCTION("""COMPUTED_VALUE"""),"9788532808370")</f>
        <v>9788532808370</v>
      </c>
      <c r="H269" s="29" t="str">
        <f>IFERROR(__xludf.DUMMYFUNCTION("""COMPUTED_VALUE"""),"https://repositorio.ufsc.br/handle/123456789/194841")</f>
        <v>https://repositorio.ufsc.br/handle/123456789/194841</v>
      </c>
      <c r="I269" s="24" t="str">
        <f>IFERROR(__xludf.DUMMYFUNCTION("""COMPUTED_VALUE"""),"Lingüística Letras e Artes")</f>
        <v>Lingüística Letras e Artes</v>
      </c>
    </row>
    <row r="270">
      <c r="A270" s="24" t="str">
        <f>IFERROR(__xludf.DUMMYFUNCTION("""COMPUTED_VALUE"""),"Literatura e práticas culturais. ")</f>
        <v>Literatura e práticas culturais. </v>
      </c>
      <c r="B270" s="24" t="str">
        <f>IFERROR(__xludf.DUMMYFUNCTION("""COMPUTED_VALUE"""),"Paulo Sérgio Nolasco dos Santos")</f>
        <v>Paulo Sérgio Nolasco dos Santos</v>
      </c>
      <c r="C270" s="24" t="str">
        <f>IFERROR(__xludf.DUMMYFUNCTION("""COMPUTED_VALUE"""),"Dourados, MS")</f>
        <v>Dourados, MS</v>
      </c>
      <c r="D270" s="24" t="str">
        <f>IFERROR(__xludf.DUMMYFUNCTION("""COMPUTED_VALUE"""),"Ed. da UFGD")</f>
        <v>Ed. da UFGD</v>
      </c>
      <c r="E270" s="25">
        <f>IFERROR(__xludf.DUMMYFUNCTION("""COMPUTED_VALUE"""),2009.0)</f>
        <v>2009</v>
      </c>
      <c r="F270" s="24" t="str">
        <f>IFERROR(__xludf.DUMMYFUNCTION("""COMPUTED_VALUE"""),"Literatura – Teoria; Literatura – Discussões teórico-críticas; Prática cultural; Cultura Sul-Mato-Grossense")</f>
        <v>Literatura – Teoria; Literatura – Discussões teórico-críticas; Prática cultural; Cultura Sul-Mato-Grossense</v>
      </c>
      <c r="G270" s="28" t="str">
        <f>IFERROR(__xludf.DUMMYFUNCTION("""COMPUTED_VALUE"""),"9788561228408")</f>
        <v>9788561228408</v>
      </c>
      <c r="H270" s="29" t="str">
        <f>IFERROR(__xludf.DUMMYFUNCTION("""COMPUTED_VALUE"""),"http://omp.ufgd.edu.br/omp/index.php/livrosabertos/catalog/view/137/206/487-1")</f>
        <v>http://omp.ufgd.edu.br/omp/index.php/livrosabertos/catalog/view/137/206/487-1</v>
      </c>
      <c r="I270" s="24" t="str">
        <f>IFERROR(__xludf.DUMMYFUNCTION("""COMPUTED_VALUE"""),"Lingüística Letras e Artes")</f>
        <v>Lingüística Letras e Artes</v>
      </c>
    </row>
    <row r="271">
      <c r="A271" s="24" t="str">
        <f>IFERROR(__xludf.DUMMYFUNCTION("""COMPUTED_VALUE"""),"Literatura interseções transversões")</f>
        <v>Literatura interseções transversões</v>
      </c>
      <c r="B271" s="24" t="str">
        <f>IFERROR(__xludf.DUMMYFUNCTION("""COMPUTED_VALUE"""),"Paulo Sérgio Nolasco dos Santos, Leoné Astride Barzotto (org.)")</f>
        <v>Paulo Sérgio Nolasco dos Santos, Leoné Astride Barzotto (org.)</v>
      </c>
      <c r="C271" s="24" t="str">
        <f>IFERROR(__xludf.DUMMYFUNCTION("""COMPUTED_VALUE"""),"Dourados, MS")</f>
        <v>Dourados, MS</v>
      </c>
      <c r="D271" s="24" t="str">
        <f>IFERROR(__xludf.DUMMYFUNCTION("""COMPUTED_VALUE"""),"Ed. da UFGD")</f>
        <v>Ed. da UFGD</v>
      </c>
      <c r="E271" s="25">
        <f>IFERROR(__xludf.DUMMYFUNCTION("""COMPUTED_VALUE"""),2013.0)</f>
        <v>2013</v>
      </c>
      <c r="F271" s="24" t="str">
        <f>IFERROR(__xludf.DUMMYFUNCTION("""COMPUTED_VALUE"""),"Literatura; Estudos literários")</f>
        <v>Literatura; Estudos literários</v>
      </c>
      <c r="G271" s="28" t="str">
        <f>IFERROR(__xludf.DUMMYFUNCTION("""COMPUTED_VALUE"""),"9788581470450")</f>
        <v>9788581470450</v>
      </c>
      <c r="H271" s="29" t="str">
        <f>IFERROR(__xludf.DUMMYFUNCTION("""COMPUTED_VALUE"""),"http://omp.ufgd.edu.br/omp/index.php/livrosabertos/catalog/view/134/209/490-1")</f>
        <v>http://omp.ufgd.edu.br/omp/index.php/livrosabertos/catalog/view/134/209/490-1</v>
      </c>
      <c r="I271" s="24" t="str">
        <f>IFERROR(__xludf.DUMMYFUNCTION("""COMPUTED_VALUE"""),"Lingüística Letras e Artes")</f>
        <v>Lingüística Letras e Artes</v>
      </c>
    </row>
    <row r="272">
      <c r="A272" s="24" t="str">
        <f>IFERROR(__xludf.DUMMYFUNCTION("""COMPUTED_VALUE"""),"Literatura, arte e mercado")</f>
        <v>Literatura, arte e mercado</v>
      </c>
      <c r="B272" s="24" t="str">
        <f>IFERROR(__xludf.DUMMYFUNCTION("""COMPUTED_VALUE"""),"Lucia Helena e Paulo César S. Oliveira (Orgs.)")</f>
        <v>Lucia Helena e Paulo César S. Oliveira (Orgs.)</v>
      </c>
      <c r="C272" s="24" t="str">
        <f>IFERROR(__xludf.DUMMYFUNCTION("""COMPUTED_VALUE"""),"Rio de Janeiro")</f>
        <v>Rio de Janeiro</v>
      </c>
      <c r="D272" s="24" t="str">
        <f>IFERROR(__xludf.DUMMYFUNCTION("""COMPUTED_VALUE"""),"Editora Caetés")</f>
        <v>Editora Caetés</v>
      </c>
      <c r="E272" s="25">
        <f>IFERROR(__xludf.DUMMYFUNCTION("""COMPUTED_VALUE"""),2018.0)</f>
        <v>2018</v>
      </c>
      <c r="F272" s="24" t="str">
        <f>IFERROR(__xludf.DUMMYFUNCTION("""COMPUTED_VALUE"""),"Literatura brasileira; História e crítica; Literatura comparada")</f>
        <v>Literatura brasileira; História e crítica; Literatura comparada</v>
      </c>
      <c r="G272" s="28" t="str">
        <f>IFERROR(__xludf.DUMMYFUNCTION("""COMPUTED_VALUE"""),"9788595510012")</f>
        <v>9788595510012</v>
      </c>
      <c r="H272" s="29" t="str">
        <f>IFERROR(__xludf.DUMMYFUNCTION("""COMPUTED_VALUE"""),"https://www.eduerj.com/eng/?product=literatura-arte-e-mercado")</f>
        <v>https://www.eduerj.com/eng/?product=literatura-arte-e-mercado</v>
      </c>
      <c r="I272" s="24" t="str">
        <f>IFERROR(__xludf.DUMMYFUNCTION("""COMPUTED_VALUE"""),"Lingüística Letras e Artes")</f>
        <v>Lingüística Letras e Artes</v>
      </c>
    </row>
    <row r="273">
      <c r="A273" s="24" t="str">
        <f>IFERROR(__xludf.DUMMYFUNCTION("""COMPUTED_VALUE"""),"Literatura, homoerotismo e expressões homoculturais")</f>
        <v>Literatura, homoerotismo e expressões homoculturais</v>
      </c>
      <c r="B273" s="24" t="str">
        <f>IFERROR(__xludf.DUMMYFUNCTION("""COMPUTED_VALUE"""),"André Luis Mitidieri, Flávio Pereira Camargo, organizadores. ")</f>
        <v>André Luis Mitidieri, Flávio Pereira Camargo, organizadores. </v>
      </c>
      <c r="C273" s="24" t="str">
        <f>IFERROR(__xludf.DUMMYFUNCTION("""COMPUTED_VALUE"""),"Ilhéus, BA")</f>
        <v>Ilhéus, BA</v>
      </c>
      <c r="D273" s="24" t="str">
        <f>IFERROR(__xludf.DUMMYFUNCTION("""COMPUTED_VALUE"""),"Editus")</f>
        <v>Editus</v>
      </c>
      <c r="E273" s="25">
        <f>IFERROR(__xludf.DUMMYFUNCTION("""COMPUTED_VALUE"""),2015.0)</f>
        <v>2015</v>
      </c>
      <c r="F273" s="24" t="str">
        <f>IFERROR(__xludf.DUMMYFUNCTION("""COMPUTED_VALUE"""),"Literatura homoerótica – História e crítica; Homossexualismo na literatura; Estudos; sobre homossexualismo")</f>
        <v>Literatura homoerótica – História e crítica; Homossexualismo na literatura; Estudos; sobre homossexualismo</v>
      </c>
      <c r="G273" s="28" t="str">
        <f>IFERROR(__xludf.DUMMYFUNCTION("""COMPUTED_VALUE"""),"9788574553795")</f>
        <v>9788574553795</v>
      </c>
      <c r="H273" s="29" t="str">
        <f>IFERROR(__xludf.DUMMYFUNCTION("""COMPUTED_VALUE"""),"http://www.uesc.br/editora/livrosdigitais2016/literatura_homoerotismo_expressoes_homoculturais.pdf")</f>
        <v>http://www.uesc.br/editora/livrosdigitais2016/literatura_homoerotismo_expressoes_homoculturais.pdf</v>
      </c>
      <c r="I273" s="24" t="str">
        <f>IFERROR(__xludf.DUMMYFUNCTION("""COMPUTED_VALUE"""),"Lingüística Letras e Artes")</f>
        <v>Lingüística Letras e Artes</v>
      </c>
    </row>
    <row r="274">
      <c r="A274" s="24" t="str">
        <f>IFERROR(__xludf.DUMMYFUNCTION("""COMPUTED_VALUE"""),"Literatura, leitura e educação")</f>
        <v>Literatura, leitura e educação</v>
      </c>
      <c r="B274" s="24" t="str">
        <f>IFERROR(__xludf.DUMMYFUNCTION("""COMPUTED_VALUE"""),"organização Márcia Cabral da Silva, Estela Natalina Mantovani Bertoletti. ")</f>
        <v>organização Márcia Cabral da Silva, Estela Natalina Mantovani Bertoletti. </v>
      </c>
      <c r="C274" s="24" t="str">
        <f>IFERROR(__xludf.DUMMYFUNCTION("""COMPUTED_VALUE"""),"Rio de Janeiro, RJ")</f>
        <v>Rio de Janeiro, RJ</v>
      </c>
      <c r="D274" s="24" t="str">
        <f>IFERROR(__xludf.DUMMYFUNCTION("""COMPUTED_VALUE"""),"EdUERJ")</f>
        <v>EdUERJ</v>
      </c>
      <c r="E274" s="25">
        <f>IFERROR(__xludf.DUMMYFUNCTION("""COMPUTED_VALUE"""),2017.0)</f>
        <v>2017</v>
      </c>
      <c r="F274" s="24" t="str">
        <f>IFERROR(__xludf.DUMMYFUNCTION("""COMPUTED_VALUE"""),"Livros e leitura para crianças; Educação; Literatura")</f>
        <v>Livros e leitura para crianças; Educação; Literatura</v>
      </c>
      <c r="G274" s="28" t="str">
        <f>IFERROR(__xludf.DUMMYFUNCTION("""COMPUTED_VALUE"""),"9788575114582")</f>
        <v>9788575114582</v>
      </c>
      <c r="H274" s="29" t="str">
        <f>IFERROR(__xludf.DUMMYFUNCTION("""COMPUTED_VALUE"""),"http://books.scielo.org/id/5gg44/pdf/silva-9788575114971.pdf")</f>
        <v>http://books.scielo.org/id/5gg44/pdf/silva-9788575114971.pdf</v>
      </c>
      <c r="I274" s="24" t="str">
        <f>IFERROR(__xludf.DUMMYFUNCTION("""COMPUTED_VALUE"""),"Lingüística Letras e Artes")</f>
        <v>Lingüística Letras e Artes</v>
      </c>
    </row>
    <row r="275">
      <c r="A275" s="24" t="str">
        <f>IFERROR(__xludf.DUMMYFUNCTION("""COMPUTED_VALUE"""),"Literaturas sul-sul: novos trânsitos")</f>
        <v>Literaturas sul-sul: novos trânsitos</v>
      </c>
      <c r="B275" s="24" t="str">
        <f>IFERROR(__xludf.DUMMYFUNCTION("""COMPUTED_VALUE"""),"Ana Claudia Duarte Mendes, Dejair; Dionísio, Sara Pires Oliveira (org.)")</f>
        <v>Ana Claudia Duarte Mendes, Dejair; Dionísio, Sara Pires Oliveira (org.)</v>
      </c>
      <c r="C275" s="24" t="str">
        <f>IFERROR(__xludf.DUMMYFUNCTION("""COMPUTED_VALUE"""),"Dourados, MS")</f>
        <v>Dourados, MS</v>
      </c>
      <c r="D275" s="24" t="str">
        <f>IFERROR(__xludf.DUMMYFUNCTION("""COMPUTED_VALUE"""),"Editora UEMS")</f>
        <v>Editora UEMS</v>
      </c>
      <c r="E275" s="25">
        <f>IFERROR(__xludf.DUMMYFUNCTION("""COMPUTED_VALUE"""),2017.0)</f>
        <v>2017</v>
      </c>
      <c r="F275" s="24" t="str">
        <f>IFERROR(__xludf.DUMMYFUNCTION("""COMPUTED_VALUE"""),"Literatura brasileira; Literatura afro-brasileira; Literatura africana")</f>
        <v>Literatura brasileira; Literatura afro-brasileira; Literatura africana</v>
      </c>
      <c r="G275" s="28" t="str">
        <f>IFERROR(__xludf.DUMMYFUNCTION("""COMPUTED_VALUE"""),"9788592863067")</f>
        <v>9788592863067</v>
      </c>
      <c r="H275" s="29" t="str">
        <f>IFERROR(__xludf.DUMMYFUNCTION("""COMPUTED_VALUE"""),"http://www.uems.br/assets/uploads/editora/arquivos/2_2018-01-18_12-00-16.pdf")</f>
        <v>http://www.uems.br/assets/uploads/editora/arquivos/2_2018-01-18_12-00-16.pdf</v>
      </c>
      <c r="I275" s="24" t="str">
        <f>IFERROR(__xludf.DUMMYFUNCTION("""COMPUTED_VALUE"""),"Lingüística Letras e Artes")</f>
        <v>Lingüística Letras e Artes</v>
      </c>
    </row>
    <row r="276">
      <c r="A276" s="24" t="str">
        <f>IFERROR(__xludf.DUMMYFUNCTION("""COMPUTED_VALUE"""),"Lourdes Ramalho em cena – modernidade teatral, dramaturgia e regionalidade")</f>
        <v>Lourdes Ramalho em cena – modernidade teatral, dramaturgia e regionalidade</v>
      </c>
      <c r="B276" s="24" t="str">
        <f>IFERROR(__xludf.DUMMYFUNCTION("""COMPUTED_VALUE"""),"Diogenes André Vieira Maciel")</f>
        <v>Diogenes André Vieira Maciel</v>
      </c>
      <c r="C276" s="24" t="str">
        <f>IFERROR(__xludf.DUMMYFUNCTION("""COMPUTED_VALUE"""),"Campina Grande")</f>
        <v>Campina Grande</v>
      </c>
      <c r="D276" s="24" t="str">
        <f>IFERROR(__xludf.DUMMYFUNCTION("""COMPUTED_VALUE"""),"EDUEPB")</f>
        <v>EDUEPB</v>
      </c>
      <c r="E276" s="25">
        <f>IFERROR(__xludf.DUMMYFUNCTION("""COMPUTED_VALUE"""),2019.0)</f>
        <v>2019</v>
      </c>
      <c r="F276" s="24" t="str">
        <f>IFERROR(__xludf.DUMMYFUNCTION("""COMPUTED_VALUE"""),"Teatro paraibano - história. Teatro campinense - regionalidade. Dramaturgia Ramalhiana. Teatro - historiografia. Teatro brasileiro - história. Artes cênicas - historiografia ")</f>
        <v>Teatro paraibano - história. Teatro campinense - regionalidade. Dramaturgia Ramalhiana. Teatro - historiografia. Teatro brasileiro - história. Artes cênicas - historiografia </v>
      </c>
      <c r="G276" s="28" t="str">
        <f>IFERROR(__xludf.DUMMYFUNCTION("""COMPUTED_VALUE"""),"9788578795870")</f>
        <v>9788578795870</v>
      </c>
      <c r="H276" s="29" t="str">
        <f>IFERROR(__xludf.DUMMYFUNCTION("""COMPUTED_VALUE"""),"http://eduepb.uepb.edu.br/download/lourdes-ramalho-em-cena-modernidade-teatral-dramaturgia-e-regionalidade/?wpdmdl=909&amp;#038;masterkey=5de7bfd1e6aa4")</f>
        <v>http://eduepb.uepb.edu.br/download/lourdes-ramalho-em-cena-modernidade-teatral-dramaturgia-e-regionalidade/?wpdmdl=909&amp;#038;masterkey=5de7bfd1e6aa4</v>
      </c>
      <c r="I276" s="24" t="str">
        <f>IFERROR(__xludf.DUMMYFUNCTION("""COMPUTED_VALUE"""),"Lingüística Letras e Artes")</f>
        <v>Lingüística Letras e Artes</v>
      </c>
    </row>
    <row r="277">
      <c r="A277" s="24" t="str">
        <f>IFERROR(__xludf.DUMMYFUNCTION("""COMPUTED_VALUE"""),"Machado de Assis e o cânone ocidental: itinerários de leitura")</f>
        <v>Machado de Assis e o cânone ocidental: itinerários de leitura</v>
      </c>
      <c r="B277" s="24" t="str">
        <f>IFERROR(__xludf.DUMMYFUNCTION("""COMPUTED_VALUE"""),"Sonia Netto Salomão")</f>
        <v>Sonia Netto Salomão</v>
      </c>
      <c r="C277" s="24" t="str">
        <f>IFERROR(__xludf.DUMMYFUNCTION("""COMPUTED_VALUE"""),"Rio de Janeiro, RJ")</f>
        <v>Rio de Janeiro, RJ</v>
      </c>
      <c r="D277" s="24" t="str">
        <f>IFERROR(__xludf.DUMMYFUNCTION("""COMPUTED_VALUE"""),"EdUERJ")</f>
        <v>EdUERJ</v>
      </c>
      <c r="E277" s="25">
        <f>IFERROR(__xludf.DUMMYFUNCTION("""COMPUTED_VALUE"""),2019.0)</f>
        <v>2019</v>
      </c>
      <c r="F277" s="24" t="str">
        <f>IFERROR(__xludf.DUMMYFUNCTION("""COMPUTED_VALUE"""),"Assis, Machado de, 1839-1908 - Crítica e interpretação; Literatura brasileira ")</f>
        <v>Assis, Machado de, 1839-1908 - Crítica e interpretação; Literatura brasileira </v>
      </c>
      <c r="G277" s="28" t="str">
        <f>IFERROR(__xludf.DUMMYFUNCTION("""COMPUTED_VALUE"""),"9788575115114")</f>
        <v>9788575115114</v>
      </c>
      <c r="H277" s="29" t="str">
        <f>IFERROR(__xludf.DUMMYFUNCTION("""COMPUTED_VALUE"""),"http://books.scielo.org/id/4krgb/pdf/salomao-9786599036484.pdf")</f>
        <v>http://books.scielo.org/id/4krgb/pdf/salomao-9786599036484.pdf</v>
      </c>
      <c r="I277" s="24" t="str">
        <f>IFERROR(__xludf.DUMMYFUNCTION("""COMPUTED_VALUE"""),"Lingüística Letras e Artes")</f>
        <v>Lingüística Letras e Artes</v>
      </c>
    </row>
    <row r="278">
      <c r="A278" s="24" t="str">
        <f>IFERROR(__xludf.DUMMYFUNCTION("""COMPUTED_VALUE"""),"Machado de Assis e o cânone ocidental: itinerários de leitura")</f>
        <v>Machado de Assis e o cânone ocidental: itinerários de leitura</v>
      </c>
      <c r="B278" s="24" t="str">
        <f>IFERROR(__xludf.DUMMYFUNCTION("""COMPUTED_VALUE"""),"Sonia Netto Salomão")</f>
        <v>Sonia Netto Salomão</v>
      </c>
      <c r="C278" s="24" t="str">
        <f>IFERROR(__xludf.DUMMYFUNCTION("""COMPUTED_VALUE"""),"Rio de Janeiro")</f>
        <v>Rio de Janeiro</v>
      </c>
      <c r="D278" s="24" t="str">
        <f>IFERROR(__xludf.DUMMYFUNCTION("""COMPUTED_VALUE"""),"EdUERJ")</f>
        <v>EdUERJ</v>
      </c>
      <c r="E278" s="25">
        <f>IFERROR(__xludf.DUMMYFUNCTION("""COMPUTED_VALUE"""),2019.0)</f>
        <v>2019</v>
      </c>
      <c r="F278" s="24" t="str">
        <f>IFERROR(__xludf.DUMMYFUNCTION("""COMPUTED_VALUE"""),"Machado de Assis; Crítica e interpretação; Literatura brasileira")</f>
        <v>Machado de Assis; Crítica e interpretação; Literatura brasileira</v>
      </c>
      <c r="G278" s="28" t="str">
        <f>IFERROR(__xludf.DUMMYFUNCTION("""COMPUTED_VALUE"""),"9788575113981")</f>
        <v>9788575113981</v>
      </c>
      <c r="H278" s="29" t="str">
        <f>IFERROR(__xludf.DUMMYFUNCTION("""COMPUTED_VALUE"""),"https://www.eduerj.com/eng/?product=machado-de-assis-e-o-canone-ocidental-itinerarios-de-leitura-ebook")</f>
        <v>https://www.eduerj.com/eng/?product=machado-de-assis-e-o-canone-ocidental-itinerarios-de-leitura-ebook</v>
      </c>
      <c r="I278" s="24" t="str">
        <f>IFERROR(__xludf.DUMMYFUNCTION("""COMPUTED_VALUE"""),"Lingüística Letras e Artes")</f>
        <v>Lingüística Letras e Artes</v>
      </c>
    </row>
    <row r="279">
      <c r="A279" s="24" t="str">
        <f>IFERROR(__xludf.DUMMYFUNCTION("""COMPUTED_VALUE"""),"Machado para jovens leitores")</f>
        <v>Machado para jovens leitores</v>
      </c>
      <c r="B279" s="24" t="str">
        <f>IFERROR(__xludf.DUMMYFUNCTION("""COMPUTED_VALUE"""),"Ana Cristina Chiara, Antonio Carlos Secchin, Denise Brasil e Ivo Barbieri (organização)")</f>
        <v>Ana Cristina Chiara, Antonio Carlos Secchin, Denise Brasil e Ivo Barbieri (organização)</v>
      </c>
      <c r="C279" s="24" t="str">
        <f>IFERROR(__xludf.DUMMYFUNCTION("""COMPUTED_VALUE"""),"Rio de Janeiro")</f>
        <v>Rio de Janeiro</v>
      </c>
      <c r="D279" s="24" t="str">
        <f>IFERROR(__xludf.DUMMYFUNCTION("""COMPUTED_VALUE"""),"EdUERJ")</f>
        <v>EdUERJ</v>
      </c>
      <c r="E279" s="25">
        <f>IFERROR(__xludf.DUMMYFUNCTION("""COMPUTED_VALUE"""),2008.0)</f>
        <v>2008</v>
      </c>
      <c r="F279" s="24" t="str">
        <f>IFERROR(__xludf.DUMMYFUNCTION("""COMPUTED_VALUE"""),"Machado de Assis; Literatura; Literatura para jovens")</f>
        <v>Machado de Assis; Literatura; Literatura para jovens</v>
      </c>
      <c r="G279" s="28" t="str">
        <f>IFERROR(__xludf.DUMMYFUNCTION("""COMPUTED_VALUE"""),"9788575111321")</f>
        <v>9788575111321</v>
      </c>
      <c r="H279" s="29" t="str">
        <f>IFERROR(__xludf.DUMMYFUNCTION("""COMPUTED_VALUE"""),"https://www.eduerj.com/eng/?product=machado-para-jovens-leitores-ebook")</f>
        <v>https://www.eduerj.com/eng/?product=machado-para-jovens-leitores-ebook</v>
      </c>
      <c r="I279" s="24" t="str">
        <f>IFERROR(__xludf.DUMMYFUNCTION("""COMPUTED_VALUE"""),"Lingüística Letras e Artes")</f>
        <v>Lingüística Letras e Artes</v>
      </c>
    </row>
    <row r="280">
      <c r="A280" s="24" t="str">
        <f>IFERROR(__xludf.DUMMYFUNCTION("""COMPUTED_VALUE"""),"Malinche: o “novo mundo” é feito de representações. ")</f>
        <v>Malinche: o “novo mundo” é feito de representações. </v>
      </c>
      <c r="B280" s="24" t="str">
        <f>IFERROR(__xludf.DUMMYFUNCTION("""COMPUTED_VALUE"""),"Maria Luana dos Santos")</f>
        <v>Maria Luana dos Santos</v>
      </c>
      <c r="C280" s="24" t="str">
        <f>IFERROR(__xludf.DUMMYFUNCTION("""COMPUTED_VALUE"""),"Dourados, MS")</f>
        <v>Dourados, MS</v>
      </c>
      <c r="D280" s="24" t="str">
        <f>IFERROR(__xludf.DUMMYFUNCTION("""COMPUTED_VALUE"""),"Ed. da UFGD")</f>
        <v>Ed. da UFGD</v>
      </c>
      <c r="E280" s="25">
        <f>IFERROR(__xludf.DUMMYFUNCTION("""COMPUTED_VALUE"""),2017.0)</f>
        <v>2017</v>
      </c>
      <c r="F280" s="24" t="str">
        <f>IFERROR(__xludf.DUMMYFUNCTION("""COMPUTED_VALUE"""),"Malinche; Literatura mexicana; Interferência social; América Latina")</f>
        <v>Malinche; Literatura mexicana; Interferência social; América Latina</v>
      </c>
      <c r="G280" s="28" t="str">
        <f>IFERROR(__xludf.DUMMYFUNCTION("""COMPUTED_VALUE"""),"9788581471402")</f>
        <v>9788581471402</v>
      </c>
      <c r="H280" s="29" t="str">
        <f>IFERROR(__xludf.DUMMYFUNCTION("""COMPUTED_VALUE"""),"http://omp.ufgd.edu.br/omp/index.php/livrosabertos/catalog/view/140/203/484-1")</f>
        <v>http://omp.ufgd.edu.br/omp/index.php/livrosabertos/catalog/view/140/203/484-1</v>
      </c>
      <c r="I280" s="24" t="str">
        <f>IFERROR(__xludf.DUMMYFUNCTION("""COMPUTED_VALUE"""),"Lingüística Letras e Artes")</f>
        <v>Lingüística Letras e Artes</v>
      </c>
    </row>
    <row r="281">
      <c r="A281" s="24" t="str">
        <f>IFERROR(__xludf.DUMMYFUNCTION("""COMPUTED_VALUE"""),"Manoel Lins: o canto da eterna esperança ")</f>
        <v>Manoel Lins: o canto da eterna esperança </v>
      </c>
      <c r="B281" s="24" t="str">
        <f>IFERROR(__xludf.DUMMYFUNCTION("""COMPUTED_VALUE"""),"pesquisa, seleção, organização, edição e notas; Antônio Lopes")</f>
        <v>pesquisa, seleção, organização, edição e notas; Antônio Lopes</v>
      </c>
      <c r="C281" s="24" t="str">
        <f>IFERROR(__xludf.DUMMYFUNCTION("""COMPUTED_VALUE"""),"Ilhéus, BA")</f>
        <v>Ilhéus, BA</v>
      </c>
      <c r="D281" s="24" t="str">
        <f>IFERROR(__xludf.DUMMYFUNCTION("""COMPUTED_VALUE"""),"Editus")</f>
        <v>Editus</v>
      </c>
      <c r="E281" s="25">
        <f>IFERROR(__xludf.DUMMYFUNCTION("""COMPUTED_VALUE"""),2017.0)</f>
        <v>2017</v>
      </c>
      <c r="F281" s="24" t="str">
        <f>IFERROR(__xludf.DUMMYFUNCTION("""COMPUTED_VALUE"""),"Manoel Lins, 1937-1975; Escritores brasileiros – Biografia; Escritores brasileiros - Bahia; Contos brasileiros – Bahia")</f>
        <v>Manoel Lins, 1937-1975; Escritores brasileiros – Biografia; Escritores brasileiros - Bahia; Contos brasileiros – Bahia</v>
      </c>
      <c r="G281" s="28" t="str">
        <f>IFERROR(__xludf.DUMMYFUNCTION("""COMPUTED_VALUE"""),"9788574553795")</f>
        <v>9788574553795</v>
      </c>
      <c r="H281" s="29" t="str">
        <f>IFERROR(__xludf.DUMMYFUNCTION("""COMPUTED_VALUE"""),"http://www.uesc.br/editora/livrosdigitais2019/manoel_lins_o_canto_da_eterna_esperanca.pdf")</f>
        <v>http://www.uesc.br/editora/livrosdigitais2019/manoel_lins_o_canto_da_eterna_esperanca.pdf</v>
      </c>
      <c r="I281" s="24" t="str">
        <f>IFERROR(__xludf.DUMMYFUNCTION("""COMPUTED_VALUE"""),"Lingüística Letras e Artes")</f>
        <v>Lingüística Letras e Artes</v>
      </c>
    </row>
    <row r="282">
      <c r="A282" s="24" t="str">
        <f>IFERROR(__xludf.DUMMYFUNCTION("""COMPUTED_VALUE"""),"Mapinguari: a lenda")</f>
        <v>Mapinguari: a lenda</v>
      </c>
      <c r="B282" s="24" t="str">
        <f>IFERROR(__xludf.DUMMYFUNCTION("""COMPUTED_VALUE"""),"Enilson Amorim")</f>
        <v>Enilson Amorim</v>
      </c>
      <c r="C282" s="24" t="str">
        <f>IFERROR(__xludf.DUMMYFUNCTION("""COMPUTED_VALUE"""),"Rio Branco")</f>
        <v>Rio Branco</v>
      </c>
      <c r="D282" s="24" t="str">
        <f>IFERROR(__xludf.DUMMYFUNCTION("""COMPUTED_VALUE"""),"Edufac")</f>
        <v>Edufac</v>
      </c>
      <c r="E282" s="25">
        <f>IFERROR(__xludf.DUMMYFUNCTION("""COMPUTED_VALUE"""),2017.0)</f>
        <v>2017</v>
      </c>
      <c r="F282" s="24" t="str">
        <f>IFERROR(__xludf.DUMMYFUNCTION("""COMPUTED_VALUE"""),"Literatura infantil")</f>
        <v>Literatura infantil</v>
      </c>
      <c r="G282" s="28" t="str">
        <f>IFERROR(__xludf.DUMMYFUNCTION("""COMPUTED_VALUE"""),"9788582360477")</f>
        <v>9788582360477</v>
      </c>
      <c r="H282" s="29" t="str">
        <f>IFERROR(__xludf.DUMMYFUNCTION("""COMPUTED_VALUE"""),"http://www2.ufac.br/editora/livros/mapinguari.pdf")</f>
        <v>http://www2.ufac.br/editora/livros/mapinguari.pdf</v>
      </c>
      <c r="I282" s="24" t="str">
        <f>IFERROR(__xludf.DUMMYFUNCTION("""COMPUTED_VALUE"""),"Lingüística Letras e Artes")</f>
        <v>Lingüística Letras e Artes</v>
      </c>
    </row>
    <row r="283">
      <c r="A283" s="24" t="str">
        <f>IFERROR(__xludf.DUMMYFUNCTION("""COMPUTED_VALUE"""),"Máquinas fantasmas na escritura: a modernidade em Pedro Kilkerry")</f>
        <v>Máquinas fantasmas na escritura: a modernidade em Pedro Kilkerry</v>
      </c>
      <c r="B283" s="24" t="str">
        <f>IFERROR(__xludf.DUMMYFUNCTION("""COMPUTED_VALUE"""),"Jiego Balduino Fernandes Ribeiro")</f>
        <v>Jiego Balduino Fernandes Ribeiro</v>
      </c>
      <c r="C283" s="24" t="str">
        <f>IFERROR(__xludf.DUMMYFUNCTION("""COMPUTED_VALUE"""),"Vitória")</f>
        <v>Vitória</v>
      </c>
      <c r="D283" s="24" t="str">
        <f>IFERROR(__xludf.DUMMYFUNCTION("""COMPUTED_VALUE"""),"EDUFES")</f>
        <v>EDUFES</v>
      </c>
      <c r="E283" s="25">
        <f>IFERROR(__xludf.DUMMYFUNCTION("""COMPUTED_VALUE"""),2015.0)</f>
        <v>2015</v>
      </c>
      <c r="F283" s="24" t="str">
        <f>IFERROR(__xludf.DUMMYFUNCTION("""COMPUTED_VALUE"""),"Pedro Kilkerry; Crítica e interpretação; Poesia brasileira; Literatura; Sociedade")</f>
        <v>Pedro Kilkerry; Crítica e interpretação; Poesia brasileira; Literatura; Sociedade</v>
      </c>
      <c r="G283" s="28" t="str">
        <f>IFERROR(__xludf.DUMMYFUNCTION("""COMPUTED_VALUE"""),"9788577722983")</f>
        <v>9788577722983</v>
      </c>
      <c r="H283" s="29" t="str">
        <f>IFERROR(__xludf.DUMMYFUNCTION("""COMPUTED_VALUE"""),"http://repositorio.ufes.br/handle/10/6773")</f>
        <v>http://repositorio.ufes.br/handle/10/6773</v>
      </c>
      <c r="I283" s="24" t="str">
        <f>IFERROR(__xludf.DUMMYFUNCTION("""COMPUTED_VALUE"""),"Lingüística Letras e Artes")</f>
        <v>Lingüística Letras e Artes</v>
      </c>
    </row>
    <row r="284">
      <c r="A284" s="24" t="str">
        <f>IFERROR(__xludf.DUMMYFUNCTION("""COMPUTED_VALUE"""),"Marcial e o livro")</f>
        <v>Marcial e o livro</v>
      </c>
      <c r="B284" s="24" t="str">
        <f>IFERROR(__xludf.DUMMYFUNCTION("""COMPUTED_VALUE"""),"Leni Ribeiro Leite")</f>
        <v>Leni Ribeiro Leite</v>
      </c>
      <c r="C284" s="24" t="str">
        <f>IFERROR(__xludf.DUMMYFUNCTION("""COMPUTED_VALUE"""),"Vitória")</f>
        <v>Vitória</v>
      </c>
      <c r="D284" s="24" t="str">
        <f>IFERROR(__xludf.DUMMYFUNCTION("""COMPUTED_VALUE"""),"EDUFES")</f>
        <v>EDUFES</v>
      </c>
      <c r="E284" s="25">
        <f>IFERROR(__xludf.DUMMYFUNCTION("""COMPUTED_VALUE"""),2013.0)</f>
        <v>2013</v>
      </c>
      <c r="F284" s="24" t="str">
        <f>IFERROR(__xludf.DUMMYFUNCTION("""COMPUTED_VALUE"""),"Crítica e interpretação; Literatura latina; Livros; Leitura; Epigrama")</f>
        <v>Crítica e interpretação; Literatura latina; Livros; Leitura; Epigrama</v>
      </c>
      <c r="G284" s="28" t="str">
        <f>IFERROR(__xludf.DUMMYFUNCTION("""COMPUTED_VALUE"""),"9788577721306")</f>
        <v>9788577721306</v>
      </c>
      <c r="H284" s="29" t="str">
        <f>IFERROR(__xludf.DUMMYFUNCTION("""COMPUTED_VALUE"""),"http://repositorio.ufes.br/bitstream/10/792/1/livro%20edufes%20marcial%20e%20o%20livro.pdf")</f>
        <v>http://repositorio.ufes.br/bitstream/10/792/1/livro%20edufes%20marcial%20e%20o%20livro.pdf</v>
      </c>
      <c r="I284" s="24" t="str">
        <f>IFERROR(__xludf.DUMMYFUNCTION("""COMPUTED_VALUE"""),"Lingüística Letras e Artes")</f>
        <v>Lingüística Letras e Artes</v>
      </c>
    </row>
    <row r="285">
      <c r="A285" s="24" t="str">
        <f>IFERROR(__xludf.DUMMYFUNCTION("""COMPUTED_VALUE"""),"Maricota e as formigas")</f>
        <v>Maricota e as formigas</v>
      </c>
      <c r="B285" s="24" t="str">
        <f>IFERROR(__xludf.DUMMYFUNCTION("""COMPUTED_VALUE"""),"Neila Brasil Bruno")</f>
        <v>Neila Brasil Bruno</v>
      </c>
      <c r="C285" s="24" t="str">
        <f>IFERROR(__xludf.DUMMYFUNCTION("""COMPUTED_VALUE"""),"Ilhéus, BA")</f>
        <v>Ilhéus, BA</v>
      </c>
      <c r="D285" s="24" t="str">
        <f>IFERROR(__xludf.DUMMYFUNCTION("""COMPUTED_VALUE"""),"Editus")</f>
        <v>Editus</v>
      </c>
      <c r="E285" s="25">
        <f>IFERROR(__xludf.DUMMYFUNCTION("""COMPUTED_VALUE"""),2013.0)</f>
        <v>2013</v>
      </c>
      <c r="F285" s="24" t="str">
        <f>IFERROR(__xludf.DUMMYFUNCTION("""COMPUTED_VALUE"""),"Literatura infantojuvenil")</f>
        <v>Literatura infantojuvenil</v>
      </c>
      <c r="G285" s="28" t="str">
        <f>IFERROR(__xludf.DUMMYFUNCTION("""COMPUTED_VALUE"""),"9788574553085")</f>
        <v>9788574553085</v>
      </c>
      <c r="H285" s="29" t="str">
        <f>IFERROR(__xludf.DUMMYFUNCTION("""COMPUTED_VALUE"""),"http://www.uesc.br/editora/livrosdigitais2017/maricota_formigas.pdf")</f>
        <v>http://www.uesc.br/editora/livrosdigitais2017/maricota_formigas.pdf</v>
      </c>
      <c r="I285" s="24" t="str">
        <f>IFERROR(__xludf.DUMMYFUNCTION("""COMPUTED_VALUE"""),"Lingüística Letras e Artes")</f>
        <v>Lingüística Letras e Artes</v>
      </c>
    </row>
    <row r="286">
      <c r="A286" s="24" t="str">
        <f>IFERROR(__xludf.DUMMYFUNCTION("""COMPUTED_VALUE"""),"Matemática dos Palmos Injustos: crônicas sobre o cotidiano do transporte público amapaense ")</f>
        <v>Matemática dos Palmos Injustos: crônicas sobre o cotidiano do transporte público amapaense </v>
      </c>
      <c r="B286" s="24" t="str">
        <f>IFERROR(__xludf.DUMMYFUNCTION("""COMPUTED_VALUE"""),"CRILES MONTEIRO RAMOS")</f>
        <v>CRILES MONTEIRO RAMOS</v>
      </c>
      <c r="C286" s="24" t="str">
        <f>IFERROR(__xludf.DUMMYFUNCTION("""COMPUTED_VALUE"""),"Macapá")</f>
        <v>Macapá</v>
      </c>
      <c r="D286" s="24" t="str">
        <f>IFERROR(__xludf.DUMMYFUNCTION("""COMPUTED_VALUE"""),"UNIFAP")</f>
        <v>UNIFAP</v>
      </c>
      <c r="E286" s="25">
        <f>IFERROR(__xludf.DUMMYFUNCTION("""COMPUTED_VALUE"""),2018.0)</f>
        <v>2018</v>
      </c>
      <c r="F286" s="24" t="str">
        <f>IFERROR(__xludf.DUMMYFUNCTION("""COMPUTED_VALUE"""),"Jornalismo; Crônica; Cotidiano; Transporte Público; Amapá (Estado)")</f>
        <v>Jornalismo; Crônica; Cotidiano; Transporte Público; Amapá (Estado)</v>
      </c>
      <c r="G286" s="28" t="str">
        <f>IFERROR(__xludf.DUMMYFUNCTION("""COMPUTED_VALUE"""),"9788554760281")</f>
        <v>9788554760281</v>
      </c>
      <c r="H286" s="29" t="str">
        <f>IFERROR(__xludf.DUMMYFUNCTION("""COMPUTED_VALUE"""),"https://www2.unifap.br/editora/files/2018/12/Matem%c3%a1tica-dos-palmos-injustos.pdf")</f>
        <v>https://www2.unifap.br/editora/files/2018/12/Matem%c3%a1tica-dos-palmos-injustos.pdf</v>
      </c>
      <c r="I286" s="24" t="str">
        <f>IFERROR(__xludf.DUMMYFUNCTION("""COMPUTED_VALUE"""),"Lingüística Letras e Artes")</f>
        <v>Lingüística Letras e Artes</v>
      </c>
    </row>
    <row r="287">
      <c r="A287" s="24" t="str">
        <f>IFERROR(__xludf.DUMMYFUNCTION("""COMPUTED_VALUE"""),"Medievo português: o rei como fonte de justiça nas crôni-cas de Fernão Lope")</f>
        <v>Medievo português: o rei como fonte de justiça nas crôni-cas de Fernão Lope</v>
      </c>
      <c r="B287" s="24" t="str">
        <f>IFERROR(__xludf.DUMMYFUNCTION("""COMPUTED_VALUE"""),"Wilson Valentim Biasotto")</f>
        <v>Wilson Valentim Biasotto</v>
      </c>
      <c r="C287" s="24" t="str">
        <f>IFERROR(__xludf.DUMMYFUNCTION("""COMPUTED_VALUE"""),"Dourados, MS")</f>
        <v>Dourados, MS</v>
      </c>
      <c r="D287" s="24" t="str">
        <f>IFERROR(__xludf.DUMMYFUNCTION("""COMPUTED_VALUE"""),"Ed. da UFGD")</f>
        <v>Ed. da UFGD</v>
      </c>
      <c r="E287" s="25">
        <f>IFERROR(__xludf.DUMMYFUNCTION("""COMPUTED_VALUE"""),2013.0)</f>
        <v>2013</v>
      </c>
      <c r="F287" s="24" t="str">
        <f>IFERROR(__xludf.DUMMYFUNCTION("""COMPUTED_VALUE"""),"Crônicas – Crítica; Crônicas; Reis; Crônica de D. Pedro")</f>
        <v>Crônicas – Crítica; Crônicas; Reis; Crônica de D. Pedro</v>
      </c>
      <c r="G287" s="28" t="str">
        <f>IFERROR(__xludf.DUMMYFUNCTION("""COMPUTED_VALUE"""),"9788581470719")</f>
        <v>9788581470719</v>
      </c>
      <c r="H287" s="29" t="str">
        <f>IFERROR(__xludf.DUMMYFUNCTION("""COMPUTED_VALUE"""),"http://omp.ufgd.edu.br/omp/index.php/livrosabertos/catalog/view/225/116/394-1")</f>
        <v>http://omp.ufgd.edu.br/omp/index.php/livrosabertos/catalog/view/225/116/394-1</v>
      </c>
      <c r="I287" s="24" t="str">
        <f>IFERROR(__xludf.DUMMYFUNCTION("""COMPUTED_VALUE"""),"Lingüística Letras e Artes")</f>
        <v>Lingüística Letras e Artes</v>
      </c>
    </row>
    <row r="288">
      <c r="A288" s="24" t="str">
        <f>IFERROR(__xludf.DUMMYFUNCTION("""COMPUTED_VALUE"""),"Memorial visual e textual das exposições da Galeria de Artes Agostinho Duarte: exposições de 2011 a 2017*")</f>
        <v>Memorial visual e textual das exposições da Galeria de Artes Agostinho Duarte: exposições de 2011 a 2017*</v>
      </c>
      <c r="B288" s="24" t="str">
        <f>IFERROR(__xludf.DUMMYFUNCTION("""COMPUTED_VALUE"""),"Márcia Moreno; Alini Lopes")</f>
        <v>Márcia Moreno; Alini Lopes</v>
      </c>
      <c r="C288" s="24" t="str">
        <f>IFERROR(__xludf.DUMMYFUNCTION("""COMPUTED_VALUE"""),"Chapecó")</f>
        <v>Chapecó</v>
      </c>
      <c r="D288" s="24" t="str">
        <f>IFERROR(__xludf.DUMMYFUNCTION("""COMPUTED_VALUE"""),"Argos")</f>
        <v>Argos</v>
      </c>
      <c r="E288" s="25">
        <f>IFERROR(__xludf.DUMMYFUNCTION("""COMPUTED_VALUE"""),2019.0)</f>
        <v>2019</v>
      </c>
      <c r="F288" s="24" t="str">
        <f>IFERROR(__xludf.DUMMYFUNCTION("""COMPUTED_VALUE"""),"Artes plásticas; Música; Ensino da arte; Cultura - Chapecó")</f>
        <v>Artes plásticas; Música; Ensino da arte; Cultura - Chapecó</v>
      </c>
      <c r="G288" s="28" t="str">
        <f>IFERROR(__xludf.DUMMYFUNCTION("""COMPUTED_VALUE"""),"9788578973117")</f>
        <v>9788578973117</v>
      </c>
      <c r="H288" s="29" t="str">
        <f>IFERROR(__xludf.DUMMYFUNCTION("""COMPUTED_VALUE"""),"https://www.editoraargos.com.br/farol/editoraargos/ebook/memorial-visual-e-textual-das-exposicoes-da-galeria-de-artes-agostinho-duarte-exposicoes-de-2011-a-2017/1154936/")</f>
        <v>https://www.editoraargos.com.br/farol/editoraargos/ebook/memorial-visual-e-textual-das-exposicoes-da-galeria-de-artes-agostinho-duarte-exposicoes-de-2011-a-2017/1154936/</v>
      </c>
      <c r="I288" s="24" t="str">
        <f>IFERROR(__xludf.DUMMYFUNCTION("""COMPUTED_VALUE"""),"Lingüística Letras e Artes")</f>
        <v>Lingüística Letras e Artes</v>
      </c>
    </row>
    <row r="289">
      <c r="A289" s="24" t="str">
        <f>IFERROR(__xludf.DUMMYFUNCTION("""COMPUTED_VALUE"""),"Memórias de um vaqueiro")</f>
        <v>Memórias de um vaqueiro</v>
      </c>
      <c r="B289" s="24" t="str">
        <f>IFERROR(__xludf.DUMMYFUNCTION("""COMPUTED_VALUE"""),"Ado Cordeiro de Melo")</f>
        <v>Ado Cordeiro de Melo</v>
      </c>
      <c r="C289" s="24" t="str">
        <f>IFERROR(__xludf.DUMMYFUNCTION("""COMPUTED_VALUE"""),"Campina Grande")</f>
        <v>Campina Grande</v>
      </c>
      <c r="D289" s="24" t="str">
        <f>IFERROR(__xludf.DUMMYFUNCTION("""COMPUTED_VALUE"""),"EDUEPB")</f>
        <v>EDUEPB</v>
      </c>
      <c r="E289" s="25">
        <f>IFERROR(__xludf.DUMMYFUNCTION("""COMPUTED_VALUE"""),2020.0)</f>
        <v>2020</v>
      </c>
      <c r="F289" s="24" t="str">
        <f>IFERROR(__xludf.DUMMYFUNCTION("""COMPUTED_VALUE"""),"Literatura paraibana - Prosa. Literatura Popular. Literatura brasileira - Memórias. Prosa brasileira")</f>
        <v>Literatura paraibana - Prosa. Literatura Popular. Literatura brasileira - Memórias. Prosa brasileira</v>
      </c>
      <c r="G289" s="28" t="str">
        <f>IFERROR(__xludf.DUMMYFUNCTION("""COMPUTED_VALUE"""),"9788578795085")</f>
        <v>9788578795085</v>
      </c>
      <c r="H289" s="29" t="str">
        <f>IFERROR(__xludf.DUMMYFUNCTION("""COMPUTED_VALUE"""),"http://eduepb.uepb.edu.br/download/memorias-de-um-vaqueiro/?wpdmdl=1088&amp;#038;masterkey=5f012fa94552d")</f>
        <v>http://eduepb.uepb.edu.br/download/memorias-de-um-vaqueiro/?wpdmdl=1088&amp;#038;masterkey=5f012fa94552d</v>
      </c>
      <c r="I289" s="24" t="str">
        <f>IFERROR(__xludf.DUMMYFUNCTION("""COMPUTED_VALUE"""),"Lingüística Letras e Artes")</f>
        <v>Lingüística Letras e Artes</v>
      </c>
    </row>
    <row r="290">
      <c r="A290" s="24" t="str">
        <f>IFERROR(__xludf.DUMMYFUNCTION("""COMPUTED_VALUE"""),"Memórias fósseis")</f>
        <v>Memórias fósseis</v>
      </c>
      <c r="B290" s="24" t="str">
        <f>IFERROR(__xludf.DUMMYFUNCTION("""COMPUTED_VALUE"""),"Weslley Almeida")</f>
        <v>Weslley Almeida</v>
      </c>
      <c r="C290" s="24" t="str">
        <f>IFERROR(__xludf.DUMMYFUNCTION("""COMPUTED_VALUE"""),"Ilhéus, BA")</f>
        <v>Ilhéus, BA</v>
      </c>
      <c r="D290" s="24" t="str">
        <f>IFERROR(__xludf.DUMMYFUNCTION("""COMPUTED_VALUE"""),"Editus")</f>
        <v>Editus</v>
      </c>
      <c r="E290" s="25">
        <f>IFERROR(__xludf.DUMMYFUNCTION("""COMPUTED_VALUE"""),2016.0)</f>
        <v>2016</v>
      </c>
      <c r="F290" s="24" t="str">
        <f>IFERROR(__xludf.DUMMYFUNCTION("""COMPUTED_VALUE"""),"Poesia brasileira; Literatura brasileira")</f>
        <v>Poesia brasileira; Literatura brasileira</v>
      </c>
      <c r="G290" s="28" t="str">
        <f>IFERROR(__xludf.DUMMYFUNCTION("""COMPUTED_VALUE"""),"9788574554228")</f>
        <v>9788574554228</v>
      </c>
      <c r="H290" s="29" t="str">
        <f>IFERROR(__xludf.DUMMYFUNCTION("""COMPUTED_VALUE"""),"http://www.uesc.br/editora/livrosdigitais2017/memorias_fosseis.pdf")</f>
        <v>http://www.uesc.br/editora/livrosdigitais2017/memorias_fosseis.pdf</v>
      </c>
      <c r="I290" s="24" t="str">
        <f>IFERROR(__xludf.DUMMYFUNCTION("""COMPUTED_VALUE"""),"Lingüística Letras e Artes")</f>
        <v>Lingüística Letras e Artes</v>
      </c>
    </row>
    <row r="291">
      <c r="A291" s="24" t="str">
        <f>IFERROR(__xludf.DUMMYFUNCTION("""COMPUTED_VALUE"""),"Menina com brinco de folha (III Prêmio UFES de Literatura)")</f>
        <v>Menina com brinco de folha (III Prêmio UFES de Literatura)</v>
      </c>
      <c r="B291" s="24" t="str">
        <f>IFERROR(__xludf.DUMMYFUNCTION("""COMPUTED_VALUE"""),"Marcella Lopes Guimarães")</f>
        <v>Marcella Lopes Guimarães</v>
      </c>
      <c r="C291" s="24" t="str">
        <f>IFERROR(__xludf.DUMMYFUNCTION("""COMPUTED_VALUE"""),"Vitória")</f>
        <v>Vitória</v>
      </c>
      <c r="D291" s="24" t="str">
        <f>IFERROR(__xludf.DUMMYFUNCTION("""COMPUTED_VALUE"""),"EDUFES")</f>
        <v>EDUFES</v>
      </c>
      <c r="E291" s="25">
        <f>IFERROR(__xludf.DUMMYFUNCTION("""COMPUTED_VALUE"""),2016.0)</f>
        <v>2016</v>
      </c>
      <c r="F291" s="24" t="str">
        <f>IFERROR(__xludf.DUMMYFUNCTION("""COMPUTED_VALUE"""),"Literatura infanto-juvenil; Literatura; Literatura infantil")</f>
        <v>Literatura infanto-juvenil; Literatura; Literatura infantil</v>
      </c>
      <c r="G291" s="28" t="str">
        <f>IFERROR(__xludf.DUMMYFUNCTION("""COMPUTED_VALUE"""),"9788577723539")</f>
        <v>9788577723539</v>
      </c>
      <c r="H291" s="29" t="str">
        <f>IFERROR(__xludf.DUMMYFUNCTION("""COMPUTED_VALUE"""),"http://repositorio.ufes.br/handle/10/6789")</f>
        <v>http://repositorio.ufes.br/handle/10/6789</v>
      </c>
      <c r="I291" s="24" t="str">
        <f>IFERROR(__xludf.DUMMYFUNCTION("""COMPUTED_VALUE"""),"Lingüística Letras e Artes")</f>
        <v>Lingüística Letras e Artes</v>
      </c>
    </row>
    <row r="292">
      <c r="A292" s="24" t="str">
        <f>IFERROR(__xludf.DUMMYFUNCTION("""COMPUTED_VALUE"""),"Mercúrio na torre domercado: percurso esignificado de umsímbolo grego namemória e nopatrimônio culturalde Pelotas, RS")</f>
        <v>Mercúrio na torre domercado: percurso esignificado de umsímbolo grego namemória e nopatrimônio culturalde Pelotas, RS</v>
      </c>
      <c r="B292" s="24" t="str">
        <f>IFERROR(__xludf.DUMMYFUNCTION("""COMPUTED_VALUE"""),"Torino, Isabel Halfen da Costa")</f>
        <v>Torino, Isabel Halfen da Costa</v>
      </c>
      <c r="C292" s="24" t="str">
        <f>IFERROR(__xludf.DUMMYFUNCTION("""COMPUTED_VALUE"""),"Pelotas")</f>
        <v>Pelotas</v>
      </c>
      <c r="D292" s="24" t="str">
        <f>IFERROR(__xludf.DUMMYFUNCTION("""COMPUTED_VALUE"""),"UFPel")</f>
        <v>UFPel</v>
      </c>
      <c r="E292" s="25">
        <f>IFERROR(__xludf.DUMMYFUNCTION("""COMPUTED_VALUE"""),2017.0)</f>
        <v>2017</v>
      </c>
      <c r="F292" s="24" t="str">
        <f>IFERROR(__xludf.DUMMYFUNCTION("""COMPUTED_VALUE"""),"Escultura de Mercúrio; Mitologia greco-romana; Mercado Público; Pelotas; Patrimônio cultural I")</f>
        <v>Escultura de Mercúrio; Mitologia greco-romana; Mercado Público; Pelotas; Patrimônio cultural I</v>
      </c>
      <c r="G292" s="28" t="str">
        <f>IFERROR(__xludf.DUMMYFUNCTION("""COMPUTED_VALUE"""),"9788571929531")</f>
        <v>9788571929531</v>
      </c>
      <c r="H292" s="29" t="str">
        <f>IFERROR(__xludf.DUMMYFUNCTION("""COMPUTED_VALUE"""),"http://guaiaca.ufpel.edu.br/bitstream/prefix/4294/1/Volume%209_%20isabel%20final.pdf")</f>
        <v>http://guaiaca.ufpel.edu.br/bitstream/prefix/4294/1/Volume%209_%20isabel%20final.pdf</v>
      </c>
      <c r="I292" s="24" t="str">
        <f>IFERROR(__xludf.DUMMYFUNCTION("""COMPUTED_VALUE"""),"Lingüística Letras e Artes")</f>
        <v>Lingüística Letras e Artes</v>
      </c>
    </row>
    <row r="293">
      <c r="A293" s="24" t="str">
        <f>IFERROR(__xludf.DUMMYFUNCTION("""COMPUTED_VALUE"""),"Metáfora cultural: persuasão e revelação. ")</f>
        <v>Metáfora cultural: persuasão e revelação. </v>
      </c>
      <c r="B293" s="24" t="str">
        <f>IFERROR(__xludf.DUMMYFUNCTION("""COMPUTED_VALUE"""),"Marcelo Saparas, Sumiko Nishitani Ikeda.")</f>
        <v>Marcelo Saparas, Sumiko Nishitani Ikeda.</v>
      </c>
      <c r="C293" s="24" t="str">
        <f>IFERROR(__xludf.DUMMYFUNCTION("""COMPUTED_VALUE"""),"Dourados, MS")</f>
        <v>Dourados, MS</v>
      </c>
      <c r="D293" s="24" t="str">
        <f>IFERROR(__xludf.DUMMYFUNCTION("""COMPUTED_VALUE"""),"Ed. da UFGD")</f>
        <v>Ed. da UFGD</v>
      </c>
      <c r="E293" s="25">
        <f>IFERROR(__xludf.DUMMYFUNCTION("""COMPUTED_VALUE"""),2017.0)</f>
        <v>2017</v>
      </c>
      <c r="F293" s="24" t="str">
        <f>IFERROR(__xludf.DUMMYFUNCTION("""COMPUTED_VALUE"""),"Metáfora - Tradução - Persuasão; Gramática Sistêmico -Funcional; Títulos de ilmes americanos")</f>
        <v>Metáfora - Tradução - Persuasão; Gramática Sistêmico -Funcional; Títulos de ilmes americanos</v>
      </c>
      <c r="G293" s="28" t="str">
        <f>IFERROR(__xludf.DUMMYFUNCTION("""COMPUTED_VALUE"""),"9788581471419")</f>
        <v>9788581471419</v>
      </c>
      <c r="H293" s="29" t="str">
        <f>IFERROR(__xludf.DUMMYFUNCTION("""COMPUTED_VALUE"""),"http://omp.ufgd.edu.br/omp/index.php/livrosabertos/catalog/view/144/199/480-1")</f>
        <v>http://omp.ufgd.edu.br/omp/index.php/livrosabertos/catalog/view/144/199/480-1</v>
      </c>
      <c r="I293" s="24" t="str">
        <f>IFERROR(__xludf.DUMMYFUNCTION("""COMPUTED_VALUE"""),"Lingüística Letras e Artes")</f>
        <v>Lingüística Letras e Artes</v>
      </c>
    </row>
    <row r="294">
      <c r="A294" s="24" t="str">
        <f>IFERROR(__xludf.DUMMYFUNCTION("""COMPUTED_VALUE"""),"Metaliteratura e suas metáforas")</f>
        <v>Metaliteratura e suas metáforas</v>
      </c>
      <c r="B294" s="24" t="str">
        <f>IFERROR(__xludf.DUMMYFUNCTION("""COMPUTED_VALUE"""),"Nilson Pereira de Carvalho (org.)")</f>
        <v>Nilson Pereira de Carvalho (org.)</v>
      </c>
      <c r="C294" s="24" t="str">
        <f>IFERROR(__xludf.DUMMYFUNCTION("""COMPUTED_VALUE"""),"Recife")</f>
        <v>Recife</v>
      </c>
      <c r="D294" s="24" t="str">
        <f>IFERROR(__xludf.DUMMYFUNCTION("""COMPUTED_VALUE"""),"Editora Universitária da UFRPE")</f>
        <v>Editora Universitária da UFRPE</v>
      </c>
      <c r="E294" s="25">
        <f>IFERROR(__xludf.DUMMYFUNCTION("""COMPUTED_VALUE"""),2018.0)</f>
        <v>2018</v>
      </c>
      <c r="F294" s="24" t="str">
        <f>IFERROR(__xludf.DUMMYFUNCTION("""COMPUTED_VALUE"""),"Crítica literária; Teoria literária; Metaliteratura")</f>
        <v>Crítica literária; Teoria literária; Metaliteratura</v>
      </c>
      <c r="G294" s="28" t="str">
        <f>IFERROR(__xludf.DUMMYFUNCTION("""COMPUTED_VALUE"""),"9788579462894")</f>
        <v>9788579462894</v>
      </c>
      <c r="H294" s="29" t="str">
        <f>IFERROR(__xludf.DUMMYFUNCTION("""COMPUTED_VALUE"""),"https://drive.google.com/file/d/19sO6jEU0T_e6dFDGjLnwe0oeanscy28u/view?usp=sharing ")</f>
        <v>https://drive.google.com/file/d/19sO6jEU0T_e6dFDGjLnwe0oeanscy28u/view?usp=sharing </v>
      </c>
      <c r="I294" s="24" t="str">
        <f>IFERROR(__xludf.DUMMYFUNCTION("""COMPUTED_VALUE"""),"Lingüística Letras e Artes")</f>
        <v>Lingüística Letras e Artes</v>
      </c>
    </row>
    <row r="295">
      <c r="A295" s="24" t="str">
        <f>IFERROR(__xludf.DUMMYFUNCTION("""COMPUTED_VALUE"""),"Minelvino trovador apóstolo ")</f>
        <v>Minelvino trovador apóstolo </v>
      </c>
      <c r="B295" s="24" t="str">
        <f>IFERROR(__xludf.DUMMYFUNCTION("""COMPUTED_VALUE"""),"Jorge de Souza Araujo")</f>
        <v>Jorge de Souza Araujo</v>
      </c>
      <c r="C295" s="24" t="str">
        <f>IFERROR(__xludf.DUMMYFUNCTION("""COMPUTED_VALUE"""),"Ilhéus, BA")</f>
        <v>Ilhéus, BA</v>
      </c>
      <c r="D295" s="24" t="str">
        <f>IFERROR(__xludf.DUMMYFUNCTION("""COMPUTED_VALUE"""),"Editus")</f>
        <v>Editus</v>
      </c>
      <c r="E295" s="25">
        <f>IFERROR(__xludf.DUMMYFUNCTION("""COMPUTED_VALUE"""),2015.0)</f>
        <v>2015</v>
      </c>
      <c r="F295" s="24" t="str">
        <f>IFERROR(__xludf.DUMMYFUNCTION("""COMPUTED_VALUE"""),"Literatura de cordel; Poesia popular")</f>
        <v>Literatura de cordel; Poesia popular</v>
      </c>
      <c r="G295" s="28" t="str">
        <f>IFERROR(__xludf.DUMMYFUNCTION("""COMPUTED_VALUE"""),"9788574553580")</f>
        <v>9788574553580</v>
      </c>
      <c r="H295" s="29" t="str">
        <f>IFERROR(__xludf.DUMMYFUNCTION("""COMPUTED_VALUE"""),"http://www.uesc.br/editora/livrosdigitais2018/minelvino.pdf")</f>
        <v>http://www.uesc.br/editora/livrosdigitais2018/minelvino.pdf</v>
      </c>
      <c r="I295" s="24" t="str">
        <f>IFERROR(__xludf.DUMMYFUNCTION("""COMPUTED_VALUE"""),"Lingüística Letras e Artes")</f>
        <v>Lingüística Letras e Artes</v>
      </c>
    </row>
    <row r="296">
      <c r="A296" s="24" t="str">
        <f>IFERROR(__xludf.DUMMYFUNCTION("""COMPUTED_VALUE"""),"Mocidade morta")</f>
        <v>Mocidade morta</v>
      </c>
      <c r="B296" s="24" t="str">
        <f>IFERROR(__xludf.DUMMYFUNCTION("""COMPUTED_VALUE"""),"Gonzaga Duque")</f>
        <v>Gonzaga Duque</v>
      </c>
      <c r="C296" s="24" t="str">
        <f>IFERROR(__xludf.DUMMYFUNCTION("""COMPUTED_VALUE"""),"Rio de Janeiro")</f>
        <v>Rio de Janeiro</v>
      </c>
      <c r="D296" s="24" t="str">
        <f>IFERROR(__xludf.DUMMYFUNCTION("""COMPUTED_VALUE"""),"Fundação Casa de Rui Barbosa")</f>
        <v>Fundação Casa de Rui Barbosa</v>
      </c>
      <c r="E296" s="25">
        <f>IFERROR(__xludf.DUMMYFUNCTION("""COMPUTED_VALUE"""),1995.0)</f>
        <v>1995</v>
      </c>
      <c r="F296" s="24" t="str">
        <f>IFERROR(__xludf.DUMMYFUNCTION("""COMPUTED_VALUE"""),"Romance")</f>
        <v>Romance</v>
      </c>
      <c r="G296" s="28" t="str">
        <f>IFERROR(__xludf.DUMMYFUNCTION("""COMPUTED_VALUE"""),"8570041764")</f>
        <v>8570041764</v>
      </c>
      <c r="H296" s="29" t="str">
        <f>IFERROR(__xludf.DUMMYFUNCTION("""COMPUTED_VALUE"""),"http://www.casaruibarbosa.gov.br/arquivos/file/Mocidade%20morta%20OCR.pdf")</f>
        <v>http://www.casaruibarbosa.gov.br/arquivos/file/Mocidade%20morta%20OCR.pdf</v>
      </c>
      <c r="I296" s="24" t="str">
        <f>IFERROR(__xludf.DUMMYFUNCTION("""COMPUTED_VALUE"""),"Lingüística Letras e Artes")</f>
        <v>Lingüística Letras e Artes</v>
      </c>
    </row>
    <row r="297">
      <c r="A297" s="24" t="str">
        <f>IFERROR(__xludf.DUMMYFUNCTION("""COMPUTED_VALUE"""),"Modos e modas, usos e costumes")</f>
        <v>Modos e modas, usos e costumes</v>
      </c>
      <c r="B297" s="24" t="str">
        <f>IFERROR(__xludf.DUMMYFUNCTION("""COMPUTED_VALUE"""),"CORINA COARACI")</f>
        <v>CORINA COARACI</v>
      </c>
      <c r="C297" s="24" t="str">
        <f>IFERROR(__xludf.DUMMYFUNCTION("""COMPUTED_VALUE"""),"Rio de Janeiro")</f>
        <v>Rio de Janeiro</v>
      </c>
      <c r="D297" s="24" t="str">
        <f>IFERROR(__xludf.DUMMYFUNCTION("""COMPUTED_VALUE"""),"Fundação Casa de Rui Barbosa")</f>
        <v>Fundação Casa de Rui Barbosa</v>
      </c>
      <c r="E297" s="25">
        <f>IFERROR(__xludf.DUMMYFUNCTION("""COMPUTED_VALUE"""),2019.0)</f>
        <v>2019</v>
      </c>
      <c r="F297" s="24" t="str">
        <f>IFERROR(__xludf.DUMMYFUNCTION("""COMPUTED_VALUE"""),"Coaraci, Corina, 1859-1892. Produção jornalística. Produção literária.; Escritora brasileira")</f>
        <v>Coaraci, Corina, 1859-1892. Produção jornalística. Produção literária.; Escritora brasileira</v>
      </c>
      <c r="G297" s="28" t="str">
        <f>IFERROR(__xludf.DUMMYFUNCTION("""COMPUTED_VALUE"""),"9788570044044")</f>
        <v>9788570044044</v>
      </c>
      <c r="H297" s="29" t="str">
        <f>IFERROR(__xludf.DUMMYFUNCTION("""COMPUTED_VALUE"""),"http://www.casaruibarbosa.gov.br/arquivos/file/Modos_e_Modas_FINAL.pdf")</f>
        <v>http://www.casaruibarbosa.gov.br/arquivos/file/Modos_e_Modas_FINAL.pdf</v>
      </c>
      <c r="I297" s="24" t="str">
        <f>IFERROR(__xludf.DUMMYFUNCTION("""COMPUTED_VALUE"""),"Lingüística Letras e Artes")</f>
        <v>Lingüística Letras e Artes</v>
      </c>
    </row>
    <row r="298">
      <c r="A298" s="24" t="str">
        <f>IFERROR(__xludf.DUMMYFUNCTION("""COMPUTED_VALUE"""),"Movimentos de demolição: deslocamentos, identidades e literatura")</f>
        <v>Movimentos de demolição: deslocamentos, identidades e literatura</v>
      </c>
      <c r="B298" s="24" t="str">
        <f>IFERROR(__xludf.DUMMYFUNCTION("""COMPUTED_VALUE"""),"Rafaela Scardino")</f>
        <v>Rafaela Scardino</v>
      </c>
      <c r="C298" s="24" t="str">
        <f>IFERROR(__xludf.DUMMYFUNCTION("""COMPUTED_VALUE"""),"Vitória")</f>
        <v>Vitória</v>
      </c>
      <c r="D298" s="24" t="str">
        <f>IFERROR(__xludf.DUMMYFUNCTION("""COMPUTED_VALUE"""),"EDUFES")</f>
        <v>EDUFES</v>
      </c>
      <c r="E298" s="25">
        <f>IFERROR(__xludf.DUMMYFUNCTION("""COMPUTED_VALUE"""),2013.0)</f>
        <v>2013</v>
      </c>
      <c r="F298" s="24" t="str">
        <f>IFERROR(__xludf.DUMMYFUNCTION("""COMPUTED_VALUE"""),"Crítica e interpretação; Literatura; Cidades e vilas; Espaço e tempo; Sociedade")</f>
        <v>Crítica e interpretação; Literatura; Cidades e vilas; Espaço e tempo; Sociedade</v>
      </c>
      <c r="G298" s="28" t="str">
        <f>IFERROR(__xludf.DUMMYFUNCTION("""COMPUTED_VALUE"""),"9788577721450")</f>
        <v>9788577721450</v>
      </c>
      <c r="H298" s="29" t="str">
        <f>IFERROR(__xludf.DUMMYFUNCTION("""COMPUTED_VALUE"""),"http://repositorio.ufes.br/bitstream/10/800/1/livro%20edufes%20movimentos%20de%20demoli%C3%A7%C3%A3o%20deslocamentos%20identidades%20e%20literatura.pdf")</f>
        <v>http://repositorio.ufes.br/bitstream/10/800/1/livro%20edufes%20movimentos%20de%20demoli%C3%A7%C3%A3o%20deslocamentos%20identidades%20e%20literatura.pdf</v>
      </c>
      <c r="I298" s="24" t="str">
        <f>IFERROR(__xludf.DUMMYFUNCTION("""COMPUTED_VALUE"""),"Lingüística Letras e Artes")</f>
        <v>Lingüística Letras e Artes</v>
      </c>
    </row>
    <row r="299">
      <c r="A299" s="24" t="str">
        <f>IFERROR(__xludf.DUMMYFUNCTION("""COMPUTED_VALUE"""),"Mulheres de papel: um estudo do imaginário em José de Alencar e Machado de Assis. ")</f>
        <v>Mulheres de papel: um estudo do imaginário em José de Alencar e Machado de Assis. </v>
      </c>
      <c r="B299" s="24" t="str">
        <f>IFERROR(__xludf.DUMMYFUNCTION("""COMPUTED_VALUE"""),"Luis Filipe Ribeiro")</f>
        <v>Luis Filipe Ribeiro</v>
      </c>
      <c r="C299" s="24" t="str">
        <f>IFERROR(__xludf.DUMMYFUNCTION("""COMPUTED_VALUE"""),"Niterói, RJ")</f>
        <v>Niterói, RJ</v>
      </c>
      <c r="D299" s="24" t="str">
        <f>IFERROR(__xludf.DUMMYFUNCTION("""COMPUTED_VALUE"""),"EDUFF")</f>
        <v>EDUFF</v>
      </c>
      <c r="E299" s="25">
        <f>IFERROR(__xludf.DUMMYFUNCTION("""COMPUTED_VALUE"""),1996.0)</f>
        <v>1996</v>
      </c>
      <c r="F299" s="24" t="str">
        <f>IFERROR(__xludf.DUMMYFUNCTION("""COMPUTED_VALUE"""),"José de Alencar - Crítica e interpretação; Machado de Assis -; Crítica e interpretação; Literatura brasileira - Mulheres")</f>
        <v>José de Alencar - Crítica e interpretação; Machado de Assis -; Crítica e interpretação; Literatura brasileira - Mulheres</v>
      </c>
      <c r="G299" s="28" t="str">
        <f>IFERROR(__xludf.DUMMYFUNCTION("""COMPUTED_VALUE"""),"8522801878")</f>
        <v>8522801878</v>
      </c>
      <c r="H299" s="29" t="str">
        <f>IFERROR(__xludf.DUMMYFUNCTION("""COMPUTED_VALUE"""),"http://www.eduff.uff.br/index.php/catalogo/livros/907-mulheres-de-papel")</f>
        <v>http://www.eduff.uff.br/index.php/catalogo/livros/907-mulheres-de-papel</v>
      </c>
      <c r="I299" s="24" t="str">
        <f>IFERROR(__xludf.DUMMYFUNCTION("""COMPUTED_VALUE"""),"Lingüística Letras e Artes")</f>
        <v>Lingüística Letras e Artes</v>
      </c>
    </row>
    <row r="300">
      <c r="A300" s="24" t="str">
        <f>IFERROR(__xludf.DUMMYFUNCTION("""COMPUTED_VALUE"""),"Mulheres e a Literatura Brasileira ")</f>
        <v>Mulheres e a Literatura Brasileira </v>
      </c>
      <c r="B300" s="24" t="str">
        <f>IFERROR(__xludf.DUMMYFUNCTION("""COMPUTED_VALUE"""),"Natali Fabiana Costa e Silva, Lua Gill da Cruz, Janaína Tatim, Marcos Paulo Torres Pereira (org.)")</f>
        <v>Natali Fabiana Costa e Silva, Lua Gill da Cruz, Janaína Tatim, Marcos Paulo Torres Pereira (org.)</v>
      </c>
      <c r="C300" s="24" t="str">
        <f>IFERROR(__xludf.DUMMYFUNCTION("""COMPUTED_VALUE"""),"Macapá")</f>
        <v>Macapá</v>
      </c>
      <c r="D300" s="24" t="str">
        <f>IFERROR(__xludf.DUMMYFUNCTION("""COMPUTED_VALUE"""),"UNIFAP")</f>
        <v>UNIFAP</v>
      </c>
      <c r="E300" s="25">
        <f>IFERROR(__xludf.DUMMYFUNCTION("""COMPUTED_VALUE"""),2017.0)</f>
        <v>2017</v>
      </c>
      <c r="F300" s="24" t="str">
        <f>IFERROR(__xludf.DUMMYFUNCTION("""COMPUTED_VALUE"""),"Literatura Brasileira; Gênero; Mulheres")</f>
        <v>Literatura Brasileira; Gênero; Mulheres</v>
      </c>
      <c r="G300" s="28" t="str">
        <f>IFERROR(__xludf.DUMMYFUNCTION("""COMPUTED_VALUE"""),"9788562359767")</f>
        <v>9788562359767</v>
      </c>
      <c r="H300" s="29" t="str">
        <f>IFERROR(__xludf.DUMMYFUNCTION("""COMPUTED_VALUE"""),"https://www2.unifap.br/editora/files/2014/12/Ebook_Mulheres-e_a_Literatura_Brasileira.pdf")</f>
        <v>https://www2.unifap.br/editora/files/2014/12/Ebook_Mulheres-e_a_Literatura_Brasileira.pdf</v>
      </c>
      <c r="I300" s="24" t="str">
        <f>IFERROR(__xludf.DUMMYFUNCTION("""COMPUTED_VALUE"""),"Lingüística Letras e Artes")</f>
        <v>Lingüística Letras e Artes</v>
      </c>
    </row>
    <row r="301">
      <c r="A301" s="24" t="str">
        <f>IFERROR(__xludf.DUMMYFUNCTION("""COMPUTED_VALUE"""),"Mulheres negras: fortalezas tecidas de dores, resistências e afetos ")</f>
        <v>Mulheres negras: fortalezas tecidas de dores, resistências e afetos </v>
      </c>
      <c r="B301" s="24" t="str">
        <f>IFERROR(__xludf.DUMMYFUNCTION("""COMPUTED_VALUE"""),"organizadoras: Piedade Lino Videira, Norma-Iracema de Barros Ferreira, Kátia de Nazaré Santos Fonsêca. ")</f>
        <v>organizadoras: Piedade Lino Videira, Norma-Iracema de Barros Ferreira, Kátia de Nazaré Santos Fonsêca. </v>
      </c>
      <c r="C301" s="24" t="str">
        <f>IFERROR(__xludf.DUMMYFUNCTION("""COMPUTED_VALUE"""),"Macapá")</f>
        <v>Macapá</v>
      </c>
      <c r="D301" s="24" t="str">
        <f>IFERROR(__xludf.DUMMYFUNCTION("""COMPUTED_VALUE"""),"UNIFAP")</f>
        <v>UNIFAP</v>
      </c>
      <c r="E301" s="25">
        <f>IFERROR(__xludf.DUMMYFUNCTION("""COMPUTED_VALUE"""),2019.0)</f>
        <v>2019</v>
      </c>
      <c r="F301" s="24" t="str">
        <f>IFERROR(__xludf.DUMMYFUNCTION("""COMPUTED_VALUE"""),"Negras – Identidade racial – Amapá; Raça negra - Integração; Poesia")</f>
        <v>Negras – Identidade racial – Amapá; Raça negra - Integração; Poesia</v>
      </c>
      <c r="G301" s="28" t="str">
        <f>IFERROR(__xludf.DUMMYFUNCTION("""COMPUTED_VALUE"""),"9788554760915")</f>
        <v>9788554760915</v>
      </c>
      <c r="H301" s="29" t="str">
        <f>IFERROR(__xludf.DUMMYFUNCTION("""COMPUTED_VALUE"""),"https://www2.unifap.br/editora/files/2019/12/mulheres-negras-1.pdf")</f>
        <v>https://www2.unifap.br/editora/files/2019/12/mulheres-negras-1.pdf</v>
      </c>
      <c r="I301" s="24" t="str">
        <f>IFERROR(__xludf.DUMMYFUNCTION("""COMPUTED_VALUE"""),"Lingüística Letras e Artes")</f>
        <v>Lingüística Letras e Artes</v>
      </c>
    </row>
    <row r="302">
      <c r="A302" s="24" t="str">
        <f>IFERROR(__xludf.DUMMYFUNCTION("""COMPUTED_VALUE"""),"Múltiplo Machado: I Colóquio Casa Dirce")</f>
        <v>Múltiplo Machado: I Colóquio Casa Dirce</v>
      </c>
      <c r="B302" s="24" t="str">
        <f>IFERROR(__xludf.DUMMYFUNCTION("""COMPUTED_VALUE"""),"João Cezar de Castro Rocha (Org.)")</f>
        <v>João Cezar de Castro Rocha (Org.)</v>
      </c>
      <c r="C302" s="24" t="str">
        <f>IFERROR(__xludf.DUMMYFUNCTION("""COMPUTED_VALUE"""),"Rio de Janeiro")</f>
        <v>Rio de Janeiro</v>
      </c>
      <c r="D302" s="24" t="str">
        <f>IFERROR(__xludf.DUMMYFUNCTION("""COMPUTED_VALUE"""),"EdUERJ")</f>
        <v>EdUERJ</v>
      </c>
      <c r="E302" s="25">
        <f>IFERROR(__xludf.DUMMYFUNCTION("""COMPUTED_VALUE"""),2015.0)</f>
        <v>2015</v>
      </c>
      <c r="F302" s="24" t="str">
        <f>IFERROR(__xludf.DUMMYFUNCTION("""COMPUTED_VALUE"""),"Machado de Assis; Crítica e interpretação; Literatura brasileira")</f>
        <v>Machado de Assis; Crítica e interpretação; Literatura brasileira</v>
      </c>
      <c r="G302" s="28" t="str">
        <f>IFERROR(__xludf.DUMMYFUNCTION("""COMPUTED_VALUE"""),"9788575114001")</f>
        <v>9788575114001</v>
      </c>
      <c r="H302" s="29" t="str">
        <f>IFERROR(__xludf.DUMMYFUNCTION("""COMPUTED_VALUE"""),"https://www.eduerj.com/eng/?product=multiplo-machado-i-coloquio-casa-dirce-2")</f>
        <v>https://www.eduerj.com/eng/?product=multiplo-machado-i-coloquio-casa-dirce-2</v>
      </c>
      <c r="I302" s="24" t="str">
        <f>IFERROR(__xludf.DUMMYFUNCTION("""COMPUTED_VALUE"""),"Lingüística Letras e Artes")</f>
        <v>Lingüística Letras e Artes</v>
      </c>
    </row>
    <row r="303">
      <c r="A303" s="24" t="str">
        <f>IFERROR(__xludf.DUMMYFUNCTION("""COMPUTED_VALUE"""),"Múltiplos Olhares Para A Formação De Professores")</f>
        <v>Múltiplos Olhares Para A Formação De Professores</v>
      </c>
      <c r="B303" s="24" t="str">
        <f>IFERROR(__xludf.DUMMYFUNCTION("""COMPUTED_VALUE"""),"Daniela Gomes de Araújo Nóbrega (org.)")</f>
        <v>Daniela Gomes de Araújo Nóbrega (org.)</v>
      </c>
      <c r="C303" s="24" t="str">
        <f>IFERROR(__xludf.DUMMYFUNCTION("""COMPUTED_VALUE"""),"Campina Grande")</f>
        <v>Campina Grande</v>
      </c>
      <c r="D303" s="24" t="str">
        <f>IFERROR(__xludf.DUMMYFUNCTION("""COMPUTED_VALUE"""),"EDUEPB")</f>
        <v>EDUEPB</v>
      </c>
      <c r="E303" s="25">
        <f>IFERROR(__xludf.DUMMYFUNCTION("""COMPUTED_VALUE"""),2016.0)</f>
        <v>2016</v>
      </c>
      <c r="F303" s="24" t="str">
        <f>IFERROR(__xludf.DUMMYFUNCTION("""COMPUTED_VALUE"""),"Línguas. Professores de línguas. Formação de professores. Gêneros digitais no ensino-aprendizagem")</f>
        <v>Línguas. Professores de línguas. Formação de professores. Gêneros digitais no ensino-aprendizagem</v>
      </c>
      <c r="G303" s="28" t="str">
        <f>IFERROR(__xludf.DUMMYFUNCTION("""COMPUTED_VALUE"""),"9788578793197")</f>
        <v>9788578793197</v>
      </c>
      <c r="H303" s="29" t="str">
        <f>IFERROR(__xludf.DUMMYFUNCTION("""COMPUTED_VALUE"""),"http://eduepb.uepb.edu.br/download/multiplos-olhares-para-a-formac%cc%a7a%cc%83o-de-professores-2/?wpdmdl=198&amp;amp;masterkey=5af99cc2dc019")</f>
        <v>http://eduepb.uepb.edu.br/download/multiplos-olhares-para-a-formac%cc%a7a%cc%83o-de-professores-2/?wpdmdl=198&amp;amp;masterkey=5af99cc2dc019</v>
      </c>
      <c r="I303" s="24" t="str">
        <f>IFERROR(__xludf.DUMMYFUNCTION("""COMPUTED_VALUE"""),"Lingüística Letras e Artes")</f>
        <v>Lingüística Letras e Artes</v>
      </c>
    </row>
    <row r="304">
      <c r="A304" s="24" t="str">
        <f>IFERROR(__xludf.DUMMYFUNCTION("""COMPUTED_VALUE"""),"Múltiplos Olhares Para A Formação De Professores De Línguas Estrangeiras")</f>
        <v>Múltiplos Olhares Para A Formação De Professores De Línguas Estrangeiras</v>
      </c>
      <c r="B304" s="24" t="str">
        <f>IFERROR(__xludf.DUMMYFUNCTION("""COMPUTED_VALUE"""),"Daniela Gomes de Araújo Nóbrega (org.)")</f>
        <v>Daniela Gomes de Araújo Nóbrega (org.)</v>
      </c>
      <c r="C304" s="24" t="str">
        <f>IFERROR(__xludf.DUMMYFUNCTION("""COMPUTED_VALUE"""),"Campina Grande")</f>
        <v>Campina Grande</v>
      </c>
      <c r="D304" s="24" t="str">
        <f>IFERROR(__xludf.DUMMYFUNCTION("""COMPUTED_VALUE"""),"EDUEPB")</f>
        <v>EDUEPB</v>
      </c>
      <c r="E304" s="25">
        <f>IFERROR(__xludf.DUMMYFUNCTION("""COMPUTED_VALUE"""),2016.0)</f>
        <v>2016</v>
      </c>
      <c r="F304" s="24" t="str">
        <f>IFERROR(__xludf.DUMMYFUNCTION("""COMPUTED_VALUE"""),"Línguas. Educação no Estado da Paraíba. Formação de professores. Ensino aprendizagem de espanhol. Formação de professores de língua inglesa")</f>
        <v>Línguas. Educação no Estado da Paraíba. Formação de professores. Ensino aprendizagem de espanhol. Formação de professores de língua inglesa</v>
      </c>
      <c r="G304" s="28" t="str">
        <f>IFERROR(__xludf.DUMMYFUNCTION("""COMPUTED_VALUE"""),"9788578793180")</f>
        <v>9788578793180</v>
      </c>
      <c r="H304" s="29" t="str">
        <f>IFERROR(__xludf.DUMMYFUNCTION("""COMPUTED_VALUE"""),"http://eduepb.uepb.edu.br/download/multiplos-olhares-para-a-formac%cc%a7a%cc%83o-de-professores-de-linguas-estrangeiras/?wpdmdl=201&amp;amp;masterkey=5af99ce8b55bc")</f>
        <v>http://eduepb.uepb.edu.br/download/multiplos-olhares-para-a-formac%cc%a7a%cc%83o-de-professores-de-linguas-estrangeiras/?wpdmdl=201&amp;amp;masterkey=5af99ce8b55bc</v>
      </c>
      <c r="I304" s="24" t="str">
        <f>IFERROR(__xludf.DUMMYFUNCTION("""COMPUTED_VALUE"""),"Lingüística Letras e Artes")</f>
        <v>Lingüística Letras e Artes</v>
      </c>
    </row>
    <row r="305">
      <c r="A305" s="24" t="str">
        <f>IFERROR(__xludf.DUMMYFUNCTION("""COMPUTED_VALUE"""),"Música")</f>
        <v>Música</v>
      </c>
      <c r="B305" s="24" t="str">
        <f>IFERROR(__xludf.DUMMYFUNCTION("""COMPUTED_VALUE"""),"Luciana Macêdo (org.)")</f>
        <v>Luciana Macêdo (org.)</v>
      </c>
      <c r="C305" s="24" t="str">
        <f>IFERROR(__xludf.DUMMYFUNCTION("""COMPUTED_VALUE"""),"Macapá")</f>
        <v>Macapá</v>
      </c>
      <c r="D305" s="24" t="str">
        <f>IFERROR(__xludf.DUMMYFUNCTION("""COMPUTED_VALUE"""),"UNIFAP")</f>
        <v>UNIFAP</v>
      </c>
      <c r="E305" s="25">
        <f>IFERROR(__xludf.DUMMYFUNCTION("""COMPUTED_VALUE"""),2019.0)</f>
        <v>2019</v>
      </c>
      <c r="F305" s="24" t="str">
        <f>IFERROR(__xludf.DUMMYFUNCTION("""COMPUTED_VALUE"""),"Fotografia; Música; Arte")</f>
        <v>Fotografia; Música; Arte</v>
      </c>
      <c r="G305" s="28" t="str">
        <f>IFERROR(__xludf.DUMMYFUNCTION("""COMPUTED_VALUE"""),"9788554760540")</f>
        <v>9788554760540</v>
      </c>
      <c r="H305" s="29" t="str">
        <f>IFERROR(__xludf.DUMMYFUNCTION("""COMPUTED_VALUE"""),"https://www2.unifap.br/editora/files/2019/05/musica.pdf")</f>
        <v>https://www2.unifap.br/editora/files/2019/05/musica.pdf</v>
      </c>
      <c r="I305" s="24" t="str">
        <f>IFERROR(__xludf.DUMMYFUNCTION("""COMPUTED_VALUE"""),"Lingüística Letras e Artes")</f>
        <v>Lingüística Letras e Artes</v>
      </c>
    </row>
    <row r="306">
      <c r="A306" s="24" t="str">
        <f>IFERROR(__xludf.DUMMYFUNCTION("""COMPUTED_VALUE"""),"Música e ensino de línguas: explorando a teoria das múltiplas inteligências")</f>
        <v>Música e ensino de línguas: explorando a teoria das múltiplas inteligências</v>
      </c>
      <c r="B306" s="24" t="str">
        <f>IFERROR(__xludf.DUMMYFUNCTION("""COMPUTED_VALUE"""),"Karen Lois Currie, José Mauriene Araújo Felipe (org.)")</f>
        <v>Karen Lois Currie, José Mauriene Araújo Felipe (org.)</v>
      </c>
      <c r="C306" s="24" t="str">
        <f>IFERROR(__xludf.DUMMYFUNCTION("""COMPUTED_VALUE"""),"Vitória")</f>
        <v>Vitória</v>
      </c>
      <c r="D306" s="24" t="str">
        <f>IFERROR(__xludf.DUMMYFUNCTION("""COMPUTED_VALUE"""),"EDUFES")</f>
        <v>EDUFES</v>
      </c>
      <c r="E306" s="25">
        <f>IFERROR(__xludf.DUMMYFUNCTION("""COMPUTED_VALUE"""),2014.0)</f>
        <v>2014</v>
      </c>
      <c r="F306" s="24" t="str">
        <f>IFERROR(__xludf.DUMMYFUNCTION("""COMPUTED_VALUE"""),"Linguagens; Línguas; Música na educação; Inteligências múltiplas")</f>
        <v>Linguagens; Línguas; Música na educação; Inteligências múltiplas</v>
      </c>
      <c r="G306" s="28" t="str">
        <f>IFERROR(__xludf.DUMMYFUNCTION("""COMPUTED_VALUE"""),"9788577722617")</f>
        <v>9788577722617</v>
      </c>
      <c r="H306" s="29" t="str">
        <f>IFERROR(__xludf.DUMMYFUNCTION("""COMPUTED_VALUE"""),"http://repositorio.ufes.br/bitstream/10/1192/1/Livro%20edufes%20M%C3%BAsica%20e%20ensino%20de%20l%C3%ADnguas%20explorando%20a%20teoria%20das%20m%C3%BAltiplas%20intelig%C3%AAncias.pdf")</f>
        <v>http://repositorio.ufes.br/bitstream/10/1192/1/Livro%20edufes%20M%C3%BAsica%20e%20ensino%20de%20l%C3%ADnguas%20explorando%20a%20teoria%20das%20m%C3%BAltiplas%20intelig%C3%AAncias.pdf</v>
      </c>
      <c r="I306" s="24" t="str">
        <f>IFERROR(__xludf.DUMMYFUNCTION("""COMPUTED_VALUE"""),"Lingüística Letras e Artes")</f>
        <v>Lingüística Letras e Artes</v>
      </c>
    </row>
    <row r="307">
      <c r="A307" s="24" t="str">
        <f>IFERROR(__xludf.DUMMYFUNCTION("""COMPUTED_VALUE"""),"Música na rua e outros poemas")</f>
        <v>Música na rua e outros poemas</v>
      </c>
      <c r="B307" s="24" t="str">
        <f>IFERROR(__xludf.DUMMYFUNCTION("""COMPUTED_VALUE"""),"Samuel Leandro Oliveira Mattos")</f>
        <v>Samuel Leandro Oliveira Mattos</v>
      </c>
      <c r="C307" s="24" t="str">
        <f>IFERROR(__xludf.DUMMYFUNCTION("""COMPUTED_VALUE"""),"Ilhéus, BA")</f>
        <v>Ilhéus, BA</v>
      </c>
      <c r="D307" s="24" t="str">
        <f>IFERROR(__xludf.DUMMYFUNCTION("""COMPUTED_VALUE"""),"Editus")</f>
        <v>Editus</v>
      </c>
      <c r="E307" s="25">
        <f>IFERROR(__xludf.DUMMYFUNCTION("""COMPUTED_VALUE"""),2008.0)</f>
        <v>2008</v>
      </c>
      <c r="F307" s="24" t="str">
        <f>IFERROR(__xludf.DUMMYFUNCTION("""COMPUTED_VALUE"""),"Poesia brasileira – Coletânea")</f>
        <v>Poesia brasileira – Coletânea</v>
      </c>
      <c r="G307" s="28" t="str">
        <f>IFERROR(__xludf.DUMMYFUNCTION("""COMPUTED_VALUE"""),"9788574551395")</f>
        <v>9788574551395</v>
      </c>
      <c r="H307" s="29" t="str">
        <f>IFERROR(__xludf.DUMMYFUNCTION("""COMPUTED_VALUE"""),"http://www.uesc.br/editora/livrosdigitais2015/musicanarua1ed.pdf")</f>
        <v>http://www.uesc.br/editora/livrosdigitais2015/musicanarua1ed.pdf</v>
      </c>
      <c r="I307" s="24" t="str">
        <f>IFERROR(__xludf.DUMMYFUNCTION("""COMPUTED_VALUE"""),"Lingüística Letras e Artes")</f>
        <v>Lingüística Letras e Artes</v>
      </c>
    </row>
    <row r="308">
      <c r="A308" s="24" t="str">
        <f>IFERROR(__xludf.DUMMYFUNCTION("""COMPUTED_VALUE"""),"Música na rua e outros poemas: 2. ed.")</f>
        <v>Música na rua e outros poemas: 2. ed.</v>
      </c>
      <c r="B308" s="24" t="str">
        <f>IFERROR(__xludf.DUMMYFUNCTION("""COMPUTED_VALUE"""),"Samuel Leandro Oliveira de Mattos")</f>
        <v>Samuel Leandro Oliveira de Mattos</v>
      </c>
      <c r="C308" s="24" t="str">
        <f>IFERROR(__xludf.DUMMYFUNCTION("""COMPUTED_VALUE"""),"Ilhéus, BA")</f>
        <v>Ilhéus, BA</v>
      </c>
      <c r="D308" s="24" t="str">
        <f>IFERROR(__xludf.DUMMYFUNCTION("""COMPUTED_VALUE"""),"Editus")</f>
        <v>Editus</v>
      </c>
      <c r="E308" s="25">
        <f>IFERROR(__xludf.DUMMYFUNCTION("""COMPUTED_VALUE"""),2014.0)</f>
        <v>2014</v>
      </c>
      <c r="F308" s="24" t="str">
        <f>IFERROR(__xludf.DUMMYFUNCTION("""COMPUTED_VALUE"""),"Poesia brasileira – Coletânea")</f>
        <v>Poesia brasileira – Coletânea</v>
      </c>
      <c r="G308" s="28" t="str">
        <f>IFERROR(__xludf.DUMMYFUNCTION("""COMPUTED_VALUE"""),"9788574553474")</f>
        <v>9788574553474</v>
      </c>
      <c r="H308" s="29" t="str">
        <f>IFERROR(__xludf.DUMMYFUNCTION("""COMPUTED_VALUE"""),"http://www.uesc.br/editora/livrosdigitais_20141023/musicanarua2ed.pdf")</f>
        <v>http://www.uesc.br/editora/livrosdigitais_20141023/musicanarua2ed.pdf</v>
      </c>
      <c r="I308" s="24" t="str">
        <f>IFERROR(__xludf.DUMMYFUNCTION("""COMPUTED_VALUE"""),"Lingüística Letras e Artes")</f>
        <v>Lingüística Letras e Artes</v>
      </c>
    </row>
    <row r="309">
      <c r="A309" s="24" t="str">
        <f>IFERROR(__xludf.DUMMYFUNCTION("""COMPUTED_VALUE"""),"Mymba ñarõnguéra")</f>
        <v>Mymba ñarõnguéra</v>
      </c>
      <c r="B309" s="24" t="str">
        <f>IFERROR(__xludf.DUMMYFUNCTION("""COMPUTED_VALUE"""),"Comitê Editorial Cone Sul Ação SaberesIndígenas na Escola.")</f>
        <v>Comitê Editorial Cone Sul Ação SaberesIndígenas na Escola.</v>
      </c>
      <c r="C309" s="24" t="str">
        <f>IFERROR(__xludf.DUMMYFUNCTION("""COMPUTED_VALUE"""),"Dourados, MS")</f>
        <v>Dourados, MS</v>
      </c>
      <c r="D309" s="24" t="str">
        <f>IFERROR(__xludf.DUMMYFUNCTION("""COMPUTED_VALUE"""),"Ed. Universidade Federal daGrande Dourados")</f>
        <v>Ed. Universidade Federal daGrande Dourados</v>
      </c>
      <c r="E309" s="25">
        <f>IFERROR(__xludf.DUMMYFUNCTION("""COMPUTED_VALUE"""),2019.0)</f>
        <v>2019</v>
      </c>
      <c r="F309" s="24" t="str">
        <f>IFERROR(__xludf.DUMMYFUNCTION("""COMPUTED_VALUE"""),"Literatura infantojuvenil indígena (Brasil) - Contos; ÍndiosGuarani Kaiowá - Literatura infantojuvenil - Contos; Literaturainfantojuvenil brasileira - Escritores indígenas; Índios da América doSul - Educação de filhos; Índios Guarani Kaiowá - Usos e costu"&amp;"mes; Etnografia; Mito terena")</f>
        <v>Literatura infantojuvenil indígena (Brasil) - Contos; ÍndiosGuarani Kaiowá - Literatura infantojuvenil - Contos; Literaturainfantojuvenil brasileira - Escritores indígenas; Índios da América doSul - Educação de filhos; Índios Guarani Kaiowá - Usos e costumes; Etnografia; Mito terena</v>
      </c>
      <c r="G309" s="28" t="str">
        <f>IFERROR(__xludf.DUMMYFUNCTION("""COMPUTED_VALUE"""),"9788581471754")</f>
        <v>9788581471754</v>
      </c>
      <c r="H309" s="29" t="str">
        <f>IFERROR(__xludf.DUMMYFUNCTION("""COMPUTED_VALUE"""),"http://omp.ufgd.edu.br/omp/index.php/livrosabertos/catalog/view/256/252/557-3")</f>
        <v>http://omp.ufgd.edu.br/omp/index.php/livrosabertos/catalog/view/256/252/557-3</v>
      </c>
      <c r="I309" s="24" t="str">
        <f>IFERROR(__xludf.DUMMYFUNCTION("""COMPUTED_VALUE"""),"Lingüística Letras e Artes")</f>
        <v>Lingüística Letras e Artes</v>
      </c>
    </row>
    <row r="310">
      <c r="A310" s="24" t="str">
        <f>IFERROR(__xludf.DUMMYFUNCTION("""COMPUTED_VALUE"""),"Na aurora da literatura brasileira")</f>
        <v>Na aurora da literatura brasileira</v>
      </c>
      <c r="B310" s="24" t="str">
        <f>IFERROR(__xludf.DUMMYFUNCTION("""COMPUTED_VALUE"""),"Roberto Acízelo de Souza")</f>
        <v>Roberto Acízelo de Souza</v>
      </c>
      <c r="C310" s="24" t="str">
        <f>IFERROR(__xludf.DUMMYFUNCTION("""COMPUTED_VALUE"""),"Rio de Janeiro")</f>
        <v>Rio de Janeiro</v>
      </c>
      <c r="D310" s="24" t="str">
        <f>IFERROR(__xludf.DUMMYFUNCTION("""COMPUTED_VALUE"""),"Editora Caetés")</f>
        <v>Editora Caetés</v>
      </c>
      <c r="E310" s="25">
        <f>IFERROR(__xludf.DUMMYFUNCTION("""COMPUTED_VALUE"""),2017.0)</f>
        <v>2017</v>
      </c>
      <c r="F310" s="24" t="str">
        <f>IFERROR(__xludf.DUMMYFUNCTION("""COMPUTED_VALUE"""),"Literatura brasileira; História e crítica; Vida intelectual")</f>
        <v>Literatura brasileira; História e crítica; Vida intelectual</v>
      </c>
      <c r="G310" s="28" t="str">
        <f>IFERROR(__xludf.DUMMYFUNCTION("""COMPUTED_VALUE"""),"9788595510005")</f>
        <v>9788595510005</v>
      </c>
      <c r="H310" s="29" t="str">
        <f>IFERROR(__xludf.DUMMYFUNCTION("""COMPUTED_VALUE"""),"https://www.eduerj.com/eng/?product=na-aurora-da-literatura-brasileira")</f>
        <v>https://www.eduerj.com/eng/?product=na-aurora-da-literatura-brasileira</v>
      </c>
      <c r="I310" s="24" t="str">
        <f>IFERROR(__xludf.DUMMYFUNCTION("""COMPUTED_VALUE"""),"Lingüística Letras e Artes")</f>
        <v>Lingüística Letras e Artes</v>
      </c>
    </row>
    <row r="311">
      <c r="A311" s="24" t="str">
        <f>IFERROR(__xludf.DUMMYFUNCTION("""COMPUTED_VALUE"""),"Não se calam as borboletas")</f>
        <v>Não se calam as borboletas</v>
      </c>
      <c r="B311" s="24" t="str">
        <f>IFERROR(__xludf.DUMMYFUNCTION("""COMPUTED_VALUE"""),"Renata Angélica Pozzetti (org.)")</f>
        <v>Renata Angélica Pozzetti (org.)</v>
      </c>
      <c r="C311" s="24" t="str">
        <f>IFERROR(__xludf.DUMMYFUNCTION("""COMPUTED_VALUE"""),"São Bernardo do Campo, SP")</f>
        <v>São Bernardo do Campo, SP</v>
      </c>
      <c r="D311" s="24" t="str">
        <f>IFERROR(__xludf.DUMMYFUNCTION("""COMPUTED_VALUE"""),"UMESP")</f>
        <v>UMESP</v>
      </c>
      <c r="E311" s="25">
        <f>IFERROR(__xludf.DUMMYFUNCTION("""COMPUTED_VALUE"""),2017.0)</f>
        <v>2017</v>
      </c>
      <c r="F311" s="24" t="str">
        <f>IFERROR(__xludf.DUMMYFUNCTION("""COMPUTED_VALUE"""),"Literatura infantojuvenil. Poesia")</f>
        <v>Literatura infantojuvenil. Poesia</v>
      </c>
      <c r="G311" s="28" t="str">
        <f>IFERROR(__xludf.DUMMYFUNCTION("""COMPUTED_VALUE"""),"9788578143701")</f>
        <v>9788578143701</v>
      </c>
      <c r="H311" s="29" t="str">
        <f>IFERROR(__xludf.DUMMYFUNCTION("""COMPUTED_VALUE"""),"http://editora.metodista.br/livros-gratis/naosecalamasborboletas.pdf/at_download/file")</f>
        <v>http://editora.metodista.br/livros-gratis/naosecalamasborboletas.pdf/at_download/file</v>
      </c>
      <c r="I311" s="24" t="str">
        <f>IFERROR(__xludf.DUMMYFUNCTION("""COMPUTED_VALUE"""),"Lingüística Letras e Artes")</f>
        <v>Lingüística Letras e Artes</v>
      </c>
    </row>
    <row r="312">
      <c r="A312" s="24" t="str">
        <f>IFERROR(__xludf.DUMMYFUNCTION("""COMPUTED_VALUE"""),"Narrativas Audiovisuais: Cinema, Memórias Ancestrais e Rituais entre os Tikmũ’ũn_Maxakali")</f>
        <v>Narrativas Audiovisuais: Cinema, Memórias Ancestrais e Rituais entre os Tikmũ’ũn_Maxakali</v>
      </c>
      <c r="B312" s="24" t="str">
        <f>IFERROR(__xludf.DUMMYFUNCTION("""COMPUTED_VALUE"""),"Andriza Maria Teodolino de Andrade")</f>
        <v>Andriza Maria Teodolino de Andrade</v>
      </c>
      <c r="C312" s="24" t="str">
        <f>IFERROR(__xludf.DUMMYFUNCTION("""COMPUTED_VALUE"""),"Ouro Preto")</f>
        <v>Ouro Preto</v>
      </c>
      <c r="D312" s="24" t="str">
        <f>IFERROR(__xludf.DUMMYFUNCTION("""COMPUTED_VALUE"""),"UFOP")</f>
        <v>UFOP</v>
      </c>
      <c r="E312" s="25">
        <f>IFERROR(__xludf.DUMMYFUNCTION("""COMPUTED_VALUE"""),2019.0)</f>
        <v>2019</v>
      </c>
      <c r="F312" s="24" t="str">
        <f>IFERROR(__xludf.DUMMYFUNCTION("""COMPUTED_VALUE"""),"Narrativas (Retórica). Cinema - Índios da América do Sul. Comunicação")</f>
        <v>Narrativas (Retórica). Cinema - Índios da América do Sul. Comunicação</v>
      </c>
      <c r="G312" s="28" t="str">
        <f>IFERROR(__xludf.DUMMYFUNCTION("""COMPUTED_VALUE"""),"9788528803709")</f>
        <v>9788528803709</v>
      </c>
      <c r="H312" s="29" t="str">
        <f>IFERROR(__xludf.DUMMYFUNCTION("""COMPUTED_VALUE"""),"https://www.editora.ufop.br/index.php/editora/catalog/view/160/129/426-1")</f>
        <v>https://www.editora.ufop.br/index.php/editora/catalog/view/160/129/426-1</v>
      </c>
      <c r="I312" s="24" t="str">
        <f>IFERROR(__xludf.DUMMYFUNCTION("""COMPUTED_VALUE"""),"Lingüística Letras e Artes")</f>
        <v>Lingüística Letras e Artes</v>
      </c>
    </row>
    <row r="313">
      <c r="A313" s="24" t="str">
        <f>IFERROR(__xludf.DUMMYFUNCTION("""COMPUTED_VALUE"""),"Nate Konétmã dji Thavai: Liv Djidatk dji Methés-iela ")</f>
        <v>Nate Konétmã dji Thavai: Liv Djidatk dji Methés-iela </v>
      </c>
      <c r="B313" s="24" t="str">
        <f>IFERROR(__xludf.DUMMYFUNCTION("""COMPUTED_VALUE"""),"Jaciara Santos da Silva, Nordevaldo dos Santos, João Alexandre Bertiliano Charles, Mara Santos, Glauber; Romling da Silva, Cilene Campetela e Ingrid Lemos Costa (org.)")</f>
        <v>Jaciara Santos da Silva, Nordevaldo dos Santos, João Alexandre Bertiliano Charles, Mara Santos, Glauber; Romling da Silva, Cilene Campetela e Ingrid Lemos Costa (org.)</v>
      </c>
      <c r="C313" s="24" t="str">
        <f>IFERROR(__xludf.DUMMYFUNCTION("""COMPUTED_VALUE"""),"Macapá")</f>
        <v>Macapá</v>
      </c>
      <c r="D313" s="24" t="str">
        <f>IFERROR(__xludf.DUMMYFUNCTION("""COMPUTED_VALUE"""),"UNIFAP")</f>
        <v>UNIFAP</v>
      </c>
      <c r="E313" s="25">
        <f>IFERROR(__xludf.DUMMYFUNCTION("""COMPUTED_VALUE"""),2019.0)</f>
        <v>2019</v>
      </c>
      <c r="F313" s="24" t="str">
        <f>IFERROR(__xludf.DUMMYFUNCTION("""COMPUTED_VALUE"""),"Linguística; Língua Kheuól; Galibi-Marworno")</f>
        <v>Linguística; Língua Kheuól; Galibi-Marworno</v>
      </c>
      <c r="G313" s="28" t="str">
        <f>IFERROR(__xludf.DUMMYFUNCTION("""COMPUTED_VALUE"""),"9788554760908")</f>
        <v>9788554760908</v>
      </c>
      <c r="H313" s="29" t="str">
        <f>IFERROR(__xludf.DUMMYFUNCTION("""COMPUTED_VALUE"""),"https://www2.unifap.br/editora/files/2019/12/nate-konetma-dji-thavai.pdf")</f>
        <v>https://www2.unifap.br/editora/files/2019/12/nate-konetma-dji-thavai.pdf</v>
      </c>
      <c r="I313" s="24" t="str">
        <f>IFERROR(__xludf.DUMMYFUNCTION("""COMPUTED_VALUE"""),"Lingüística Letras e Artes")</f>
        <v>Lingüística Letras e Artes</v>
      </c>
    </row>
    <row r="314">
      <c r="A314" s="24" t="str">
        <f>IFERROR(__xludf.DUMMYFUNCTION("""COMPUTED_VALUE"""),"Natureza e identidade no projeto artístico")</f>
        <v>Natureza e identidade no projeto artístico</v>
      </c>
      <c r="B314" s="24" t="str">
        <f>IFERROR(__xludf.DUMMYFUNCTION("""COMPUTED_VALUE"""),"Santiago Vera Cañizares")</f>
        <v>Santiago Vera Cañizares</v>
      </c>
      <c r="C314" s="24" t="str">
        <f>IFERROR(__xludf.DUMMYFUNCTION("""COMPUTED_VALUE"""),"Vitória")</f>
        <v>Vitória</v>
      </c>
      <c r="D314" s="24" t="str">
        <f>IFERROR(__xludf.DUMMYFUNCTION("""COMPUTED_VALUE"""),"EDUFES")</f>
        <v>EDUFES</v>
      </c>
      <c r="E314" s="25">
        <f>IFERROR(__xludf.DUMMYFUNCTION("""COMPUTED_VALUE"""),2014.0)</f>
        <v>2014</v>
      </c>
      <c r="F314" s="24" t="str">
        <f>IFERROR(__xludf.DUMMYFUNCTION("""COMPUTED_VALUE"""),"Arte; Artes plásticas; Arte moderna; Metodologia ")</f>
        <v>Arte; Artes plásticas; Arte moderna; Metodologia </v>
      </c>
      <c r="G314" s="28" t="str">
        <f>IFERROR(__xludf.DUMMYFUNCTION("""COMPUTED_VALUE"""),"9788577722389")</f>
        <v>9788577722389</v>
      </c>
      <c r="H314" s="29" t="str">
        <f>IFERROR(__xludf.DUMMYFUNCTION("""COMPUTED_VALUE"""),"http://repositorio.ufes.br/handle/10/1901")</f>
        <v>http://repositorio.ufes.br/handle/10/1901</v>
      </c>
      <c r="I314" s="24" t="str">
        <f>IFERROR(__xludf.DUMMYFUNCTION("""COMPUTED_VALUE"""),"Lingüística Letras e Artes")</f>
        <v>Lingüística Letras e Artes</v>
      </c>
    </row>
    <row r="315">
      <c r="A315" s="24" t="str">
        <f>IFERROR(__xludf.DUMMYFUNCTION("""COMPUTED_VALUE"""),"Negerplastik (escultura negra)")</f>
        <v>Negerplastik (escultura negra)</v>
      </c>
      <c r="B315" s="24" t="str">
        <f>IFERROR(__xludf.DUMMYFUNCTION("""COMPUTED_VALUE"""),"Einstein, Carl")</f>
        <v>Einstein, Carl</v>
      </c>
      <c r="C315" s="24" t="str">
        <f>IFERROR(__xludf.DUMMYFUNCTION("""COMPUTED_VALUE"""),"Florianópolis")</f>
        <v>Florianópolis</v>
      </c>
      <c r="D315" s="24" t="str">
        <f>IFERROR(__xludf.DUMMYFUNCTION("""COMPUTED_VALUE"""),"Editora da UFSC")</f>
        <v>Editora da UFSC</v>
      </c>
      <c r="E315" s="25">
        <f>IFERROR(__xludf.DUMMYFUNCTION("""COMPUTED_VALUE"""),2011.0)</f>
        <v>2011</v>
      </c>
      <c r="F315" s="24" t="str">
        <f>IFERROR(__xludf.DUMMYFUNCTION("""COMPUTED_VALUE"""),"Arte;Escultura africana;Africa")</f>
        <v>Arte;Escultura africana;Africa</v>
      </c>
      <c r="G315" s="28" t="str">
        <f>IFERROR(__xludf.DUMMYFUNCTION("""COMPUTED_VALUE"""),"9788532805591")</f>
        <v>9788532805591</v>
      </c>
      <c r="H315" s="29" t="str">
        <f>IFERROR(__xludf.DUMMYFUNCTION("""COMPUTED_VALUE"""),"https://repositorio.ufsc.br/handle/123456789/187734")</f>
        <v>https://repositorio.ufsc.br/handle/123456789/187734</v>
      </c>
      <c r="I315" s="24" t="str">
        <f>IFERROR(__xludf.DUMMYFUNCTION("""COMPUTED_VALUE"""),"Lingüística Letras e Artes")</f>
        <v>Lingüística Letras e Artes</v>
      </c>
    </row>
    <row r="316">
      <c r="A316" s="24" t="str">
        <f>IFERROR(__xludf.DUMMYFUNCTION("""COMPUTED_VALUE"""),"Nelson Rodrigues: trágico então moderno")</f>
        <v>Nelson Rodrigues: trágico então moderno</v>
      </c>
      <c r="B316" s="24" t="str">
        <f>IFERROR(__xludf.DUMMYFUNCTION("""COMPUTED_VALUE"""),"Ângela Leite Lopes")</f>
        <v>Ângela Leite Lopes</v>
      </c>
      <c r="C316" s="24" t="str">
        <f>IFERROR(__xludf.DUMMYFUNCTION("""COMPUTED_VALUE"""),"Rio de Janeiro")</f>
        <v>Rio de Janeiro</v>
      </c>
      <c r="D316" s="24" t="str">
        <f>IFERROR(__xludf.DUMMYFUNCTION("""COMPUTED_VALUE"""),"Editora UFRJ")</f>
        <v>Editora UFRJ</v>
      </c>
      <c r="E316" s="25">
        <f>IFERROR(__xludf.DUMMYFUNCTION("""COMPUTED_VALUE"""),1993.0)</f>
        <v>1993</v>
      </c>
      <c r="F316" s="24" t="str">
        <f>IFERROR(__xludf.DUMMYFUNCTION("""COMPUTED_VALUE"""),"Nelson Rodrigues; Teatro Brasileiro; Tragédias; Teatro")</f>
        <v>Nelson Rodrigues; Teatro Brasileiro; Tragédias; Teatro</v>
      </c>
      <c r="G316" s="28" t="str">
        <f>IFERROR(__xludf.DUMMYFUNCTION("""COMPUTED_VALUE"""),"8571080941")</f>
        <v>8571080941</v>
      </c>
      <c r="H316" s="29" t="str">
        <f>IFERROR(__xludf.DUMMYFUNCTION("""COMPUTED_VALUE"""),"http://www.editora.ufrj.br/DynamicItems/livrosabertos-1/NelsonRodrigues_compressed.pdf")</f>
        <v>http://www.editora.ufrj.br/DynamicItems/livrosabertos-1/NelsonRodrigues_compressed.pdf</v>
      </c>
      <c r="I316" s="24" t="str">
        <f>IFERROR(__xludf.DUMMYFUNCTION("""COMPUTED_VALUE"""),"Lingüística Letras e Artes")</f>
        <v>Lingüística Letras e Artes</v>
      </c>
    </row>
    <row r="317">
      <c r="A317" s="24" t="str">
        <f>IFERROR(__xludf.DUMMYFUNCTION("""COMPUTED_VALUE"""),"Nelson Schaun merece um livro... ")</f>
        <v>Nelson Schaun merece um livro... </v>
      </c>
      <c r="B317" s="24" t="str">
        <f>IFERROR(__xludf.DUMMYFUNCTION("""COMPUTED_VALUE"""),"Maria Schaun (org.)")</f>
        <v>Maria Schaun (org.)</v>
      </c>
      <c r="C317" s="24" t="str">
        <f>IFERROR(__xludf.DUMMYFUNCTION("""COMPUTED_VALUE"""),"Ilhéus, BA")</f>
        <v>Ilhéus, BA</v>
      </c>
      <c r="D317" s="24" t="str">
        <f>IFERROR(__xludf.DUMMYFUNCTION("""COMPUTED_VALUE"""),"Editus")</f>
        <v>Editus</v>
      </c>
      <c r="E317" s="25">
        <f>IFERROR(__xludf.DUMMYFUNCTION("""COMPUTED_VALUE"""),2018.0)</f>
        <v>2018</v>
      </c>
      <c r="F317" s="24" t="str">
        <f>IFERROR(__xludf.DUMMYFUNCTION("""COMPUTED_VALUE"""),"Literatura brasileira – Coletânea; Schaun,; Nelson, 1901-1968 – Biografia")</f>
        <v>Literatura brasileira – Coletânea; Schaun,; Nelson, 1901-1968 – Biografia</v>
      </c>
      <c r="G317" s="28" t="str">
        <f>IFERROR(__xludf.DUMMYFUNCTION("""COMPUTED_VALUE"""),"9788574554778")</f>
        <v>9788574554778</v>
      </c>
      <c r="H317" s="29" t="str">
        <f>IFERROR(__xludf.DUMMYFUNCTION("""COMPUTED_VALUE"""),"http://www.uesc.br/editora/livrosdigitais2019/nelsonschaum-mereceumlivro.pdf")</f>
        <v>http://www.uesc.br/editora/livrosdigitais2019/nelsonschaum-mereceumlivro.pdf</v>
      </c>
      <c r="I317" s="24" t="str">
        <f>IFERROR(__xludf.DUMMYFUNCTION("""COMPUTED_VALUE"""),"Lingüística Letras e Artes")</f>
        <v>Lingüística Letras e Artes</v>
      </c>
    </row>
    <row r="318">
      <c r="A318" s="24" t="str">
        <f>IFERROR(__xludf.DUMMYFUNCTION("""COMPUTED_VALUE"""),"Nelson Schaun, merece um livro...")</f>
        <v>Nelson Schaun, merece um livro...</v>
      </c>
      <c r="B318" s="24" t="str">
        <f>IFERROR(__xludf.DUMMYFUNCTION("""COMPUTED_VALUE"""),"(org.) Maria Schaun. ")</f>
        <v>(org.) Maria Schaun. </v>
      </c>
      <c r="C318" s="24" t="str">
        <f>IFERROR(__xludf.DUMMYFUNCTION("""COMPUTED_VALUE"""),"Ilhéus, BA")</f>
        <v>Ilhéus, BA</v>
      </c>
      <c r="D318" s="24" t="str">
        <f>IFERROR(__xludf.DUMMYFUNCTION("""COMPUTED_VALUE"""),"Editus")</f>
        <v>Editus</v>
      </c>
      <c r="E318" s="25">
        <f>IFERROR(__xludf.DUMMYFUNCTION("""COMPUTED_VALUE"""),2001.0)</f>
        <v>2001</v>
      </c>
      <c r="F318" s="24" t="str">
        <f>IFERROR(__xludf.DUMMYFUNCTION("""COMPUTED_VALUE"""),"Literatura brasileira - Coletânea; Schaun, Nelson, 1901-1968 - Biografia")</f>
        <v>Literatura brasileira - Coletânea; Schaun, Nelson, 1901-1968 - Biografia</v>
      </c>
      <c r="G318" s="28" t="str">
        <f>IFERROR(__xludf.DUMMYFUNCTION("""COMPUTED_VALUE"""),"8574550310")</f>
        <v>8574550310</v>
      </c>
      <c r="H318" s="29" t="str">
        <f>IFERROR(__xludf.DUMMYFUNCTION("""COMPUTED_VALUE"""),"http://www.uesc.br/editora/livrosdigitais/nelson-schaun-merece-um-livro.pdf")</f>
        <v>http://www.uesc.br/editora/livrosdigitais/nelson-schaun-merece-um-livro.pdf</v>
      </c>
      <c r="I318" s="24" t="str">
        <f>IFERROR(__xludf.DUMMYFUNCTION("""COMPUTED_VALUE"""),"Lingüística Letras e Artes")</f>
        <v>Lingüística Letras e Artes</v>
      </c>
    </row>
    <row r="319">
      <c r="A319" s="24" t="str">
        <f>IFERROR(__xludf.DUMMYFUNCTION("""COMPUTED_VALUE"""),"No Lang No Mias: Liv Paradjidatxik dji Methes-iela ")</f>
        <v>No Lang No Mias: Liv Paradjidatxik dji Methes-iela </v>
      </c>
      <c r="B319" s="24" t="str">
        <f>IFERROR(__xludf.DUMMYFUNCTION("""COMPUTED_VALUE"""),"(org.) Janina dos Santos Forte, Mara Santos, Glauber Romling da Silva, Cilene Campetela e Ingrid Lemos Costa")</f>
        <v>(org.) Janina dos Santos Forte, Mara Santos, Glauber Romling da Silva, Cilene Campetela e Ingrid Lemos Costa</v>
      </c>
      <c r="C319" s="24" t="str">
        <f>IFERROR(__xludf.DUMMYFUNCTION("""COMPUTED_VALUE"""),"Macapá")</f>
        <v>Macapá</v>
      </c>
      <c r="D319" s="24" t="str">
        <f>IFERROR(__xludf.DUMMYFUNCTION("""COMPUTED_VALUE"""),"UNIFAP")</f>
        <v>UNIFAP</v>
      </c>
      <c r="E319" s="25">
        <f>IFERROR(__xludf.DUMMYFUNCTION("""COMPUTED_VALUE"""),2019.0)</f>
        <v>2019</v>
      </c>
      <c r="F319" s="24" t="str">
        <f>IFERROR(__xludf.DUMMYFUNCTION("""COMPUTED_VALUE"""),"Linguística; Língua Kheuól; Karipuna")</f>
        <v>Linguística; Língua Kheuól; Karipuna</v>
      </c>
      <c r="G319" s="28" t="str">
        <f>IFERROR(__xludf.DUMMYFUNCTION("""COMPUTED_VALUE"""),"9788554760878")</f>
        <v>9788554760878</v>
      </c>
      <c r="H319" s="29" t="str">
        <f>IFERROR(__xludf.DUMMYFUNCTION("""COMPUTED_VALUE"""),"https://www2.unifap.br/editora/files/2020/02/no-lang-no-mias.pdf")</f>
        <v>https://www2.unifap.br/editora/files/2020/02/no-lang-no-mias.pdf</v>
      </c>
      <c r="I319" s="24" t="str">
        <f>IFERROR(__xludf.DUMMYFUNCTION("""COMPUTED_VALUE"""),"Lingüística Letras e Artes")</f>
        <v>Lingüística Letras e Artes</v>
      </c>
    </row>
    <row r="320">
      <c r="A320" s="24" t="str">
        <f>IFERROR(__xludf.DUMMYFUNCTION("""COMPUTED_VALUE"""),"No Liv dji Ixtwa Galibi-Marworno: Liv Paradjidatk dji Methés-iela")</f>
        <v>No Liv dji Ixtwa Galibi-Marworno: Liv Paradjidatk dji Methés-iela</v>
      </c>
      <c r="B320" s="24" t="str">
        <f>IFERROR(__xludf.DUMMYFUNCTION("""COMPUTED_VALUE"""),"Jaciara Santos da Silva, Nordevaldo dos Santos, João Alexandre Bertiliano Charles; Mara Santos, Glauber Romling da Silva, Cilene Campetela e Ingrid Lemos Costa (org.)")</f>
        <v>Jaciara Santos da Silva, Nordevaldo dos Santos, João Alexandre Bertiliano Charles; Mara Santos, Glauber Romling da Silva, Cilene Campetela e Ingrid Lemos Costa (org.)</v>
      </c>
      <c r="C320" s="24" t="str">
        <f>IFERROR(__xludf.DUMMYFUNCTION("""COMPUTED_VALUE"""),"Macapá")</f>
        <v>Macapá</v>
      </c>
      <c r="D320" s="24" t="str">
        <f>IFERROR(__xludf.DUMMYFUNCTION("""COMPUTED_VALUE"""),"UNIFAP")</f>
        <v>UNIFAP</v>
      </c>
      <c r="E320" s="25">
        <f>IFERROR(__xludf.DUMMYFUNCTION("""COMPUTED_VALUE"""),2019.0)</f>
        <v>2019</v>
      </c>
      <c r="F320" s="24" t="str">
        <f>IFERROR(__xludf.DUMMYFUNCTION("""COMPUTED_VALUE"""),"Linguística; Língua Kheuól; Galibi-Marworno")</f>
        <v>Linguística; Língua Kheuól; Galibi-Marworno</v>
      </c>
      <c r="G320" s="28" t="str">
        <f>IFERROR(__xludf.DUMMYFUNCTION("""COMPUTED_VALUE"""),"9788554760892")</f>
        <v>9788554760892</v>
      </c>
      <c r="H320" s="29" t="str">
        <f>IFERROR(__xludf.DUMMYFUNCTION("""COMPUTED_VALUE"""),"https://www2.unifap.br/editora/files/2019/12/no-liv-dji-ixtwa-balibi-marworno.pdf")</f>
        <v>https://www2.unifap.br/editora/files/2019/12/no-liv-dji-ixtwa-balibi-marworno.pdf</v>
      </c>
      <c r="I320" s="24" t="str">
        <f>IFERROR(__xludf.DUMMYFUNCTION("""COMPUTED_VALUE"""),"Lingüística Letras e Artes")</f>
        <v>Lingüística Letras e Artes</v>
      </c>
    </row>
    <row r="321">
      <c r="A321" s="24" t="str">
        <f>IFERROR(__xludf.DUMMYFUNCTION("""COMPUTED_VALUE"""),"Nós")</f>
        <v>Nós</v>
      </c>
      <c r="B321" s="24" t="str">
        <f>IFERROR(__xludf.DUMMYFUNCTION("""COMPUTED_VALUE"""),"Miguel, Salim")</f>
        <v>Miguel, Salim</v>
      </c>
      <c r="C321" s="24" t="str">
        <f>IFERROR(__xludf.DUMMYFUNCTION("""COMPUTED_VALUE"""),"Florianópolis")</f>
        <v>Florianópolis</v>
      </c>
      <c r="D321" s="24" t="str">
        <f>IFERROR(__xludf.DUMMYFUNCTION("""COMPUTED_VALUE"""),"Editora da UFSC")</f>
        <v>Editora da UFSC</v>
      </c>
      <c r="E321" s="25">
        <f>IFERROR(__xludf.DUMMYFUNCTION("""COMPUTED_VALUE"""),2018.0)</f>
        <v>2018</v>
      </c>
      <c r="F321" s="24" t="str">
        <f>IFERROR(__xludf.DUMMYFUNCTION("""COMPUTED_VALUE"""),"Literatura brasileira;Literatura catarinense;Romance")</f>
        <v>Literatura brasileira;Literatura catarinense;Romance</v>
      </c>
      <c r="G321" s="28" t="str">
        <f>IFERROR(__xludf.DUMMYFUNCTION("""COMPUTED_VALUE"""),"9788532807144")</f>
        <v>9788532807144</v>
      </c>
      <c r="H321" s="29" t="str">
        <f>IFERROR(__xludf.DUMMYFUNCTION("""COMPUTED_VALUE"""),"https://repositorio.ufsc.br/handle/123456789/187543")</f>
        <v>https://repositorio.ufsc.br/handle/123456789/187543</v>
      </c>
      <c r="I321" s="24" t="str">
        <f>IFERROR(__xludf.DUMMYFUNCTION("""COMPUTED_VALUE"""),"Lingüística Letras e Artes")</f>
        <v>Lingüística Letras e Artes</v>
      </c>
    </row>
    <row r="322">
      <c r="A322" s="24" t="str">
        <f>IFERROR(__xludf.DUMMYFUNCTION("""COMPUTED_VALUE"""),"Nova Leitura Crítica de Jorge Amado")</f>
        <v>Nova Leitura Crítica de Jorge Amado</v>
      </c>
      <c r="B322" s="24" t="str">
        <f>IFERROR(__xludf.DUMMYFUNCTION("""COMPUTED_VALUE"""),"Sudha Swarnakar; Ediliane Lopes Leite de Figueiredo; Patricia Gomes Germano (org.)")</f>
        <v>Sudha Swarnakar; Ediliane Lopes Leite de Figueiredo; Patricia Gomes Germano (org.)</v>
      </c>
      <c r="C322" s="24" t="str">
        <f>IFERROR(__xludf.DUMMYFUNCTION("""COMPUTED_VALUE"""),"Campina Grande")</f>
        <v>Campina Grande</v>
      </c>
      <c r="D322" s="24" t="str">
        <f>IFERROR(__xludf.DUMMYFUNCTION("""COMPUTED_VALUE"""),"EDUEPB")</f>
        <v>EDUEPB</v>
      </c>
      <c r="E322" s="25">
        <f>IFERROR(__xludf.DUMMYFUNCTION("""COMPUTED_VALUE"""),2014.0)</f>
        <v>2014</v>
      </c>
      <c r="F322" s="24" t="str">
        <f>IFERROR(__xludf.DUMMYFUNCTION("""COMPUTED_VALUE"""),"Jorge Amado. Crônicas. análise textual")</f>
        <v>Jorge Amado. Crônicas. análise textual</v>
      </c>
      <c r="G322" s="28" t="str">
        <f>IFERROR(__xludf.DUMMYFUNCTION("""COMPUTED_VALUE"""),"9788578791780")</f>
        <v>9788578791780</v>
      </c>
      <c r="H322" s="29" t="str">
        <f>IFERROR(__xludf.DUMMYFUNCTION("""COMPUTED_VALUE"""),"http://eduepb.uepb.edu.br/download/nova-leitura-critica-de-jorge-amado/?wpdmdl=199&amp;amp;masterkey=5af99cfa6d5d7")</f>
        <v>http://eduepb.uepb.edu.br/download/nova-leitura-critica-de-jorge-amado/?wpdmdl=199&amp;amp;masterkey=5af99cfa6d5d7</v>
      </c>
      <c r="I322" s="24" t="str">
        <f>IFERROR(__xludf.DUMMYFUNCTION("""COMPUTED_VALUE"""),"Lingüística Letras e Artes")</f>
        <v>Lingüística Letras e Artes</v>
      </c>
    </row>
    <row r="323">
      <c r="A323" s="24" t="str">
        <f>IFERROR(__xludf.DUMMYFUNCTION("""COMPUTED_VALUE"""),"Novos dizeres")</f>
        <v>Novos dizeres</v>
      </c>
      <c r="B323" s="24" t="str">
        <f>IFERROR(__xludf.DUMMYFUNCTION("""COMPUTED_VALUE"""),"Ruy do Carmo Póvoas")</f>
        <v>Ruy do Carmo Póvoas</v>
      </c>
      <c r="C323" s="24" t="str">
        <f>IFERROR(__xludf.DUMMYFUNCTION("""COMPUTED_VALUE"""),"Ilhéus, BA")</f>
        <v>Ilhéus, BA</v>
      </c>
      <c r="D323" s="24" t="str">
        <f>IFERROR(__xludf.DUMMYFUNCTION("""COMPUTED_VALUE"""),"Editus")</f>
        <v>Editus</v>
      </c>
      <c r="E323" s="25">
        <f>IFERROR(__xludf.DUMMYFUNCTION("""COMPUTED_VALUE"""),2016.0)</f>
        <v>2016</v>
      </c>
      <c r="F323" s="24" t="str">
        <f>IFERROR(__xludf.DUMMYFUNCTION("""COMPUTED_VALUE"""),"Poesia brasileira")</f>
        <v>Poesia brasileira</v>
      </c>
      <c r="G323" s="28" t="str">
        <f>IFERROR(__xludf.DUMMYFUNCTION("""COMPUTED_VALUE"""),"9788574554181")</f>
        <v>9788574554181</v>
      </c>
      <c r="H323" s="29" t="str">
        <f>IFERROR(__xludf.DUMMYFUNCTION("""COMPUTED_VALUE"""),"http://www.uesc.br/editora/livrosdigitais_20170620/novos_dizeres.pdf")</f>
        <v>http://www.uesc.br/editora/livrosdigitais_20170620/novos_dizeres.pdf</v>
      </c>
      <c r="I323" s="24" t="str">
        <f>IFERROR(__xludf.DUMMYFUNCTION("""COMPUTED_VALUE"""),"Lingüística Letras e Artes")</f>
        <v>Lingüística Letras e Artes</v>
      </c>
    </row>
    <row r="324">
      <c r="A324" s="24" t="str">
        <f>IFERROR(__xludf.DUMMYFUNCTION("""COMPUTED_VALUE"""),"Nuances da Linguagem em Uso")</f>
        <v>Nuances da Linguagem em Uso</v>
      </c>
      <c r="B324" s="24" t="str">
        <f>IFERROR(__xludf.DUMMYFUNCTION("""COMPUTED_VALUE"""),"Paulo Vinícius Ávila Nóbrega")</f>
        <v>Paulo Vinícius Ávila Nóbrega</v>
      </c>
      <c r="C324" s="24" t="str">
        <f>IFERROR(__xludf.DUMMYFUNCTION("""COMPUTED_VALUE"""),"Campina Grande")</f>
        <v>Campina Grande</v>
      </c>
      <c r="D324" s="24" t="str">
        <f>IFERROR(__xludf.DUMMYFUNCTION("""COMPUTED_VALUE"""),"EDUEPB")</f>
        <v>EDUEPB</v>
      </c>
      <c r="E324" s="25">
        <f>IFERROR(__xludf.DUMMYFUNCTION("""COMPUTED_VALUE"""),2018.0)</f>
        <v>2018</v>
      </c>
      <c r="F324" s="24" t="str">
        <f>IFERROR(__xludf.DUMMYFUNCTION("""COMPUTED_VALUE"""),"Distúbios da linguagem. Linguagem - práticas pedagógicas inclusivas. Linguagem - transtornos mentais. Linguagem multimodal. Surdez - lexicografia pedagógica. Linguagem - inclusão e acessibilidade")</f>
        <v>Distúbios da linguagem. Linguagem - práticas pedagógicas inclusivas. Linguagem - transtornos mentais. Linguagem multimodal. Surdez - lexicografia pedagógica. Linguagem - inclusão e acessibilidade</v>
      </c>
      <c r="G324" s="28" t="str">
        <f>IFERROR(__xludf.DUMMYFUNCTION("""COMPUTED_VALUE"""),"9788578795023")</f>
        <v>9788578795023</v>
      </c>
      <c r="H324" s="29" t="str">
        <f>IFERROR(__xludf.DUMMYFUNCTION("""COMPUTED_VALUE"""),"http://eduepb.uepb.edu.br/download/nuances-da-linguagem-em-uso/?wpdmdl=713&amp;amp;masterkey=5cfe3feb198c2")</f>
        <v>http://eduepb.uepb.edu.br/download/nuances-da-linguagem-em-uso/?wpdmdl=713&amp;amp;masterkey=5cfe3feb198c2</v>
      </c>
      <c r="I324" s="24" t="str">
        <f>IFERROR(__xludf.DUMMYFUNCTION("""COMPUTED_VALUE"""),"Lingüística Letras e Artes")</f>
        <v>Lingüística Letras e Artes</v>
      </c>
    </row>
    <row r="325">
      <c r="A325" s="24" t="str">
        <f>IFERROR(__xludf.DUMMYFUNCTION("""COMPUTED_VALUE"""),"Núcleo de Extensão Possibilita: ações e vivências no sertão da Paraíba")</f>
        <v>Núcleo de Extensão Possibilita: ações e vivências no sertão da Paraíba</v>
      </c>
      <c r="B325" s="24" t="str">
        <f>IFERROR(__xludf.DUMMYFUNCTION("""COMPUTED_VALUE"""),"Ana Maria Zulema Pinto Cabral da Nóbrega, Edcarlos Paz de Lucena e Malone Soares de Castro (org.)")</f>
        <v>Ana Maria Zulema Pinto Cabral da Nóbrega, Edcarlos Paz de Lucena e Malone Soares de Castro (org.)</v>
      </c>
      <c r="C325" s="24" t="str">
        <f>IFERROR(__xludf.DUMMYFUNCTION("""COMPUTED_VALUE"""),"João Pessoa")</f>
        <v>João Pessoa</v>
      </c>
      <c r="D325" s="24" t="str">
        <f>IFERROR(__xludf.DUMMYFUNCTION("""COMPUTED_VALUE"""),"Editora IFPB")</f>
        <v>Editora IFPB</v>
      </c>
      <c r="E325" s="25">
        <f>IFERROR(__xludf.DUMMYFUNCTION("""COMPUTED_VALUE"""),2017.0)</f>
        <v>2017</v>
      </c>
      <c r="F325" s="24" t="str">
        <f>IFERROR(__xludf.DUMMYFUNCTION("""COMPUTED_VALUE"""),"Extensão; Núcleo da rede rizoma; Sertão; Vivência")</f>
        <v>Extensão; Núcleo da rede rizoma; Sertão; Vivência</v>
      </c>
      <c r="G325" s="28" t="str">
        <f>IFERROR(__xludf.DUMMYFUNCTION("""COMPUTED_VALUE"""),"9788554490034")</f>
        <v>9788554490034</v>
      </c>
      <c r="H325" s="29" t="str">
        <f>IFERROR(__xludf.DUMMYFUNCTION("""COMPUTED_VALUE"""),"http://editora.ifpb.edu.br/index.php/ifpb/catalog/book/113")</f>
        <v>http://editora.ifpb.edu.br/index.php/ifpb/catalog/book/113</v>
      </c>
      <c r="I325" s="24" t="str">
        <f>IFERROR(__xludf.DUMMYFUNCTION("""COMPUTED_VALUE"""),"Lingüística Letras e Artes")</f>
        <v>Lingüística Letras e Artes</v>
      </c>
    </row>
    <row r="326">
      <c r="A326" s="24" t="str">
        <f>IFERROR(__xludf.DUMMYFUNCTION("""COMPUTED_VALUE"""),"O Alienista")</f>
        <v>O Alienista</v>
      </c>
      <c r="B326" s="24" t="str">
        <f>IFERROR(__xludf.DUMMYFUNCTION("""COMPUTED_VALUE"""),"Machado de Assis")</f>
        <v>Machado de Assis</v>
      </c>
      <c r="C326" s="24" t="str">
        <f>IFERROR(__xludf.DUMMYFUNCTION("""COMPUTED_VALUE"""),"Rio de Janeiro")</f>
        <v>Rio de Janeiro</v>
      </c>
      <c r="D326" s="24" t="str">
        <f>IFERROR(__xludf.DUMMYFUNCTION("""COMPUTED_VALUE"""),"EdUERJ")</f>
        <v>EdUERJ</v>
      </c>
      <c r="E326" s="25">
        <f>IFERROR(__xludf.DUMMYFUNCTION("""COMPUTED_VALUE"""),2018.0)</f>
        <v>2018</v>
      </c>
      <c r="F326" s="24" t="str">
        <f>IFERROR(__xludf.DUMMYFUNCTION("""COMPUTED_VALUE"""),"Literatura; Literatura brasileira; Machado de Assis")</f>
        <v>Literatura; Literatura brasileira; Machado de Assis</v>
      </c>
      <c r="G326" s="28" t="str">
        <f>IFERROR(__xludf.DUMMYFUNCTION("""COMPUTED_VALUE"""),"9788575114643")</f>
        <v>9788575114643</v>
      </c>
      <c r="H326" s="29" t="str">
        <f>IFERROR(__xludf.DUMMYFUNCTION("""COMPUTED_VALUE"""),"https://www.eduerj.com/eng/?product=o-alienista-2")</f>
        <v>https://www.eduerj.com/eng/?product=o-alienista-2</v>
      </c>
      <c r="I326" s="24" t="str">
        <f>IFERROR(__xludf.DUMMYFUNCTION("""COMPUTED_VALUE"""),"Lingüística Letras e Artes")</f>
        <v>Lingüística Letras e Artes</v>
      </c>
    </row>
    <row r="327">
      <c r="A327" s="24" t="str">
        <f>IFERROR(__xludf.DUMMYFUNCTION("""COMPUTED_VALUE"""),"O ATUAL E O INATUAL: EM SÉRGIO BUARQUE DE HOLANDA")</f>
        <v>O ATUAL E O INATUAL: EM SÉRGIO BUARQUE DE HOLANDA</v>
      </c>
      <c r="B327" s="24" t="str">
        <f>IFERROR(__xludf.DUMMYFUNCTION("""COMPUTED_VALUE"""),"Eduardo Henrique Gimarães.")</f>
        <v>Eduardo Henrique Gimarães.</v>
      </c>
      <c r="C327" s="24" t="str">
        <f>IFERROR(__xludf.DUMMYFUNCTION("""COMPUTED_VALUE"""),"João Pessoa")</f>
        <v>João Pessoa</v>
      </c>
      <c r="D327" s="24" t="str">
        <f>IFERROR(__xludf.DUMMYFUNCTION("""COMPUTED_VALUE"""),"Editora da UFPB")</f>
        <v>Editora da UFPB</v>
      </c>
      <c r="E327" s="25">
        <f>IFERROR(__xludf.DUMMYFUNCTION("""COMPUTED_VALUE"""),2016.0)</f>
        <v>2016</v>
      </c>
      <c r="F327" s="24" t="str">
        <f>IFERROR(__xludf.DUMMYFUNCTION("""COMPUTED_VALUE"""),"Sergio Buarque de Holanda")</f>
        <v>Sergio Buarque de Holanda</v>
      </c>
      <c r="G327" s="28" t="str">
        <f>IFERROR(__xludf.DUMMYFUNCTION("""COMPUTED_VALUE"""),"9878523711740")</f>
        <v>9878523711740</v>
      </c>
      <c r="H327" s="29" t="str">
        <f>IFERROR(__xludf.DUMMYFUNCTION("""COMPUTED_VALUE"""),"http://www.editora.ufpb.br/sistema/press5/index.php/UFPB/catalog/book/100")</f>
        <v>http://www.editora.ufpb.br/sistema/press5/index.php/UFPB/catalog/book/100</v>
      </c>
      <c r="I327" s="24" t="str">
        <f>IFERROR(__xludf.DUMMYFUNCTION("""COMPUTED_VALUE"""),"Lingüística Letras e Artes")</f>
        <v>Lingüística Letras e Artes</v>
      </c>
    </row>
    <row r="328">
      <c r="A328" s="24" t="str">
        <f>IFERROR(__xludf.DUMMYFUNCTION("""COMPUTED_VALUE"""),"O canto do uirapuru")</f>
        <v>O canto do uirapuru</v>
      </c>
      <c r="B328" s="24" t="str">
        <f>IFERROR(__xludf.DUMMYFUNCTION("""COMPUTED_VALUE"""),"Enilson Amorim")</f>
        <v>Enilson Amorim</v>
      </c>
      <c r="C328" s="24" t="str">
        <f>IFERROR(__xludf.DUMMYFUNCTION("""COMPUTED_VALUE"""),"Rio Branco")</f>
        <v>Rio Branco</v>
      </c>
      <c r="D328" s="24" t="str">
        <f>IFERROR(__xludf.DUMMYFUNCTION("""COMPUTED_VALUE"""),"Edufac")</f>
        <v>Edufac</v>
      </c>
      <c r="E328" s="25">
        <f>IFERROR(__xludf.DUMMYFUNCTION("""COMPUTED_VALUE"""),2017.0)</f>
        <v>2017</v>
      </c>
      <c r="F328" s="24" t="str">
        <f>IFERROR(__xludf.DUMMYFUNCTION("""COMPUTED_VALUE"""),"Literatura infantil")</f>
        <v>Literatura infantil</v>
      </c>
      <c r="G328" s="28" t="str">
        <f>IFERROR(__xludf.DUMMYFUNCTION("""COMPUTED_VALUE"""),"9788582360491")</f>
        <v>9788582360491</v>
      </c>
      <c r="H328" s="29" t="str">
        <f>IFERROR(__xludf.DUMMYFUNCTION("""COMPUTED_VALUE"""),"http://www2.ufac.br/editora/livros/canto-do-uirapuru.pdf")</f>
        <v>http://www2.ufac.br/editora/livros/canto-do-uirapuru.pdf</v>
      </c>
      <c r="I328" s="24" t="str">
        <f>IFERROR(__xludf.DUMMYFUNCTION("""COMPUTED_VALUE"""),"Lingüística Letras e Artes")</f>
        <v>Lingüística Letras e Artes</v>
      </c>
    </row>
    <row r="329">
      <c r="A329" s="24" t="str">
        <f>IFERROR(__xludf.DUMMYFUNCTION("""COMPUTED_VALUE"""),"O cinema da periferia: narrativas do cotidiano, visibilidade e reconhecimento social")</f>
        <v>O cinema da periferia: narrativas do cotidiano, visibilidade e reconhecimento social</v>
      </c>
      <c r="B329" s="24" t="str">
        <f>IFERROR(__xludf.DUMMYFUNCTION("""COMPUTED_VALUE"""),"Daniela Zanetti")</f>
        <v>Daniela Zanetti</v>
      </c>
      <c r="C329" s="24" t="str">
        <f>IFERROR(__xludf.DUMMYFUNCTION("""COMPUTED_VALUE"""),"Salvador")</f>
        <v>Salvador</v>
      </c>
      <c r="D329" s="24" t="str">
        <f>IFERROR(__xludf.DUMMYFUNCTION("""COMPUTED_VALUE"""),"EDUFBA")</f>
        <v>EDUFBA</v>
      </c>
      <c r="E329" s="25">
        <f>IFERROR(__xludf.DUMMYFUNCTION("""COMPUTED_VALUE"""),2015.0)</f>
        <v>2015</v>
      </c>
      <c r="F329" s="24" t="str">
        <f>IFERROR(__xludf.DUMMYFUNCTION("""COMPUTED_VALUE"""),"Cinematografia; Cinema; Linguagem; Geografia urbana; Aspectos socioculturais")</f>
        <v>Cinematografia; Cinema; Linguagem; Geografia urbana; Aspectos socioculturais</v>
      </c>
      <c r="G329" s="28" t="str">
        <f>IFERROR(__xludf.DUMMYFUNCTION("""COMPUTED_VALUE"""),"9788523213800")</f>
        <v>9788523213800</v>
      </c>
      <c r="H329" s="29" t="str">
        <f>IFERROR(__xludf.DUMMYFUNCTION("""COMPUTED_VALUE"""),"http://repositorio.ufba.br/ri/handle/ri/18030")</f>
        <v>http://repositorio.ufba.br/ri/handle/ri/18030</v>
      </c>
      <c r="I329" s="24" t="str">
        <f>IFERROR(__xludf.DUMMYFUNCTION("""COMPUTED_VALUE"""),"Lingüística Letras e Artes")</f>
        <v>Lingüística Letras e Artes</v>
      </c>
    </row>
    <row r="330">
      <c r="A330" s="24" t="str">
        <f>IFERROR(__xludf.DUMMYFUNCTION("""COMPUTED_VALUE"""),"O Conto E O Romance Contemporâneos na Perspectiva das Literaturas Pós-autônomas")</f>
        <v>O Conto E O Romance Contemporâneos na Perspectiva das Literaturas Pós-autônomas</v>
      </c>
      <c r="B330" s="24" t="str">
        <f>IFERROR(__xludf.DUMMYFUNCTION("""COMPUTED_VALUE"""),"Antonio de Pádua Dias da Silva (org.)")</f>
        <v>Antonio de Pádua Dias da Silva (org.)</v>
      </c>
      <c r="C330" s="24" t="str">
        <f>IFERROR(__xludf.DUMMYFUNCTION("""COMPUTED_VALUE"""),"Campina Grande")</f>
        <v>Campina Grande</v>
      </c>
      <c r="D330" s="24" t="str">
        <f>IFERROR(__xludf.DUMMYFUNCTION("""COMPUTED_VALUE"""),"EDUEPB")</f>
        <v>EDUEPB</v>
      </c>
      <c r="E330" s="25">
        <f>IFERROR(__xludf.DUMMYFUNCTION("""COMPUTED_VALUE"""),2016.0)</f>
        <v>2016</v>
      </c>
      <c r="F330" s="24" t="str">
        <f>IFERROR(__xludf.DUMMYFUNCTION("""COMPUTED_VALUE"""),"Teoria literária. Literatura. Contos. Romance. Gêneros literários")</f>
        <v>Teoria literária. Literatura. Contos. Romance. Gêneros literários</v>
      </c>
      <c r="G330" s="28" t="str">
        <f>IFERROR(__xludf.DUMMYFUNCTION("""COMPUTED_VALUE"""),"9788578793104")</f>
        <v>9788578793104</v>
      </c>
      <c r="H330" s="29" t="str">
        <f>IFERROR(__xludf.DUMMYFUNCTION("""COMPUTED_VALUE"""),"http://eduepb.uepb.edu.br/download/o-conto-e-o-romance-contemporaneos-na-perspectiva-das-literaturas-pos-autonomas/?wpdmdl=202&amp;amp;masterkey=5af99d419dc90")</f>
        <v>http://eduepb.uepb.edu.br/download/o-conto-e-o-romance-contemporaneos-na-perspectiva-das-literaturas-pos-autonomas/?wpdmdl=202&amp;amp;masterkey=5af99d419dc90</v>
      </c>
      <c r="I330" s="24" t="str">
        <f>IFERROR(__xludf.DUMMYFUNCTION("""COMPUTED_VALUE"""),"Lingüística Letras e Artes")</f>
        <v>Lingüística Letras e Artes</v>
      </c>
    </row>
    <row r="331">
      <c r="A331" s="24" t="str">
        <f>IFERROR(__xludf.DUMMYFUNCTION("""COMPUTED_VALUE"""),"O conto em vinte e cinco baianos")</f>
        <v>O conto em vinte e cinco baianos</v>
      </c>
      <c r="B331" s="24" t="str">
        <f>IFERROR(__xludf.DUMMYFUNCTION("""COMPUTED_VALUE"""),"organização, prefácio e notas de Cyro de Mattos. ")</f>
        <v>organização, prefácio e notas de Cyro de Mattos. </v>
      </c>
      <c r="C331" s="24" t="str">
        <f>IFERROR(__xludf.DUMMYFUNCTION("""COMPUTED_VALUE"""),"Ilhéus, BA")</f>
        <v>Ilhéus, BA</v>
      </c>
      <c r="D331" s="24" t="str">
        <f>IFERROR(__xludf.DUMMYFUNCTION("""COMPUTED_VALUE"""),"Editus")</f>
        <v>Editus</v>
      </c>
      <c r="E331" s="25">
        <f>IFERROR(__xludf.DUMMYFUNCTION("""COMPUTED_VALUE"""),2009.0)</f>
        <v>2009</v>
      </c>
      <c r="F331" s="24" t="str">
        <f>IFERROR(__xludf.DUMMYFUNCTION("""COMPUTED_VALUE"""),"Contos brasileiros")</f>
        <v>Contos brasileiros</v>
      </c>
      <c r="G331" s="28" t="str">
        <f>IFERROR(__xludf.DUMMYFUNCTION("""COMPUTED_VALUE"""),"8574550191")</f>
        <v>8574550191</v>
      </c>
      <c r="H331" s="29" t="str">
        <f>IFERROR(__xludf.DUMMYFUNCTION("""COMPUTED_VALUE"""),"http://www.uesc.br/editora/livrosdigitais_20140513/o_conto_em_vinte_e_cinco_baianos.pdf")</f>
        <v>http://www.uesc.br/editora/livrosdigitais_20140513/o_conto_em_vinte_e_cinco_baianos.pdf</v>
      </c>
      <c r="I331" s="24" t="str">
        <f>IFERROR(__xludf.DUMMYFUNCTION("""COMPUTED_VALUE"""),"Lingüística Letras e Artes")</f>
        <v>Lingüística Letras e Artes</v>
      </c>
    </row>
    <row r="332">
      <c r="A332" s="24" t="str">
        <f>IFERROR(__xludf.DUMMYFUNCTION("""COMPUTED_VALUE"""),"O coração range sob as estrelas (III Prêmio UFES de Literatura)")</f>
        <v>O coração range sob as estrelas (III Prêmio UFES de Literatura)</v>
      </c>
      <c r="B332" s="24" t="str">
        <f>IFERROR(__xludf.DUMMYFUNCTION("""COMPUTED_VALUE"""),"Conceição de Maria Sousa Santos, sob pseudônimo de Lila Maia")</f>
        <v>Conceição de Maria Sousa Santos, sob pseudônimo de Lila Maia</v>
      </c>
      <c r="C332" s="24" t="str">
        <f>IFERROR(__xludf.DUMMYFUNCTION("""COMPUTED_VALUE"""),"Vitória")</f>
        <v>Vitória</v>
      </c>
      <c r="D332" s="24" t="str">
        <f>IFERROR(__xludf.DUMMYFUNCTION("""COMPUTED_VALUE"""),"EDUFES")</f>
        <v>EDUFES</v>
      </c>
      <c r="E332" s="25">
        <f>IFERROR(__xludf.DUMMYFUNCTION("""COMPUTED_VALUE"""),2016.0)</f>
        <v>2016</v>
      </c>
      <c r="F332" s="24" t="str">
        <f>IFERROR(__xludf.DUMMYFUNCTION("""COMPUTED_VALUE"""),"Literatura infanto-juvenil; Literatura")</f>
        <v>Literatura infanto-juvenil; Literatura</v>
      </c>
      <c r="G332" s="28" t="str">
        <f>IFERROR(__xludf.DUMMYFUNCTION("""COMPUTED_VALUE"""),"9788577723553")</f>
        <v>9788577723553</v>
      </c>
      <c r="H332" s="29" t="str">
        <f>IFERROR(__xludf.DUMMYFUNCTION("""COMPUTED_VALUE"""),"http://repositorio.ufes.br/handle/10/6796")</f>
        <v>http://repositorio.ufes.br/handle/10/6796</v>
      </c>
      <c r="I332" s="24" t="str">
        <f>IFERROR(__xludf.DUMMYFUNCTION("""COMPUTED_VALUE"""),"Lingüística Letras e Artes")</f>
        <v>Lingüística Letras e Artes</v>
      </c>
    </row>
    <row r="333">
      <c r="A333" s="24" t="str">
        <f>IFERROR(__xludf.DUMMYFUNCTION("""COMPUTED_VALUE"""),"O corpo e a imagem no discurso: gêneros híbridos")</f>
        <v>O corpo e a imagem no discurso: gêneros híbridos</v>
      </c>
      <c r="B333" s="24" t="str">
        <f>IFERROR(__xludf.DUMMYFUNCTION("""COMPUTED_VALUE""")," organizadora: Simone Tiemi Hashiguti")</f>
        <v> organizadora: Simone Tiemi Hashiguti</v>
      </c>
      <c r="C333" s="24" t="str">
        <f>IFERROR(__xludf.DUMMYFUNCTION("""COMPUTED_VALUE"""),"Uberlândia")</f>
        <v>Uberlândia</v>
      </c>
      <c r="D333" s="24" t="str">
        <f>IFERROR(__xludf.DUMMYFUNCTION("""COMPUTED_VALUE"""),"EDUFU")</f>
        <v>EDUFU</v>
      </c>
      <c r="E333" s="25">
        <f>IFERROR(__xludf.DUMMYFUNCTION("""COMPUTED_VALUE"""),2019.0)</f>
        <v>2019</v>
      </c>
      <c r="F333" s="24" t="str">
        <f>IFERROR(__xludf.DUMMYFUNCTION("""COMPUTED_VALUE"""),"Linguística; Análise do discurso. I. Hashiguti, Simone Tiemi. II. Universidade Federal de Uberlândia. V. Título")</f>
        <v>Linguística; Análise do discurso. I. Hashiguti, Simone Tiemi. II. Universidade Federal de Uberlândia. V. Título</v>
      </c>
      <c r="G333" s="28" t="str">
        <f>IFERROR(__xludf.DUMMYFUNCTION("""COMPUTED_VALUE"""),"9788570785039")</f>
        <v>9788570785039</v>
      </c>
      <c r="H333" s="29" t="str">
        <f>IFERROR(__xludf.DUMMYFUNCTION("""COMPUTED_VALUE"""),"http://www.edufu.ufu.br/sites/edufu.ufu.br/files/e-book_com_senha_o_corpo_e_a_imagem_no_discurso_-_in_focus_12.pdf")</f>
        <v>http://www.edufu.ufu.br/sites/edufu.ufu.br/files/e-book_com_senha_o_corpo_e_a_imagem_no_discurso_-_in_focus_12.pdf</v>
      </c>
      <c r="I333" s="24" t="str">
        <f>IFERROR(__xludf.DUMMYFUNCTION("""COMPUTED_VALUE"""),"Lingüística Letras e Artes")</f>
        <v>Lingüística Letras e Artes</v>
      </c>
    </row>
    <row r="334">
      <c r="A334" s="24" t="str">
        <f>IFERROR(__xludf.DUMMYFUNCTION("""COMPUTED_VALUE"""),"O crime do padre Amaro")</f>
        <v>O crime do padre Amaro</v>
      </c>
      <c r="B334" s="24" t="str">
        <f>IFERROR(__xludf.DUMMYFUNCTION("""COMPUTED_VALUE"""),"Eça de Queirós")</f>
        <v>Eça de Queirós</v>
      </c>
      <c r="C334" s="24" t="str">
        <f>IFERROR(__xludf.DUMMYFUNCTION("""COMPUTED_VALUE"""),"Rio de Janeiro")</f>
        <v>Rio de Janeiro</v>
      </c>
      <c r="D334" s="24" t="str">
        <f>IFERROR(__xludf.DUMMYFUNCTION("""COMPUTED_VALUE"""),"EdUERJ")</f>
        <v>EdUERJ</v>
      </c>
      <c r="E334" s="25">
        <f>IFERROR(__xludf.DUMMYFUNCTION("""COMPUTED_VALUE"""),2018.0)</f>
        <v>2018</v>
      </c>
      <c r="F334" s="24" t="str">
        <f>IFERROR(__xludf.DUMMYFUNCTION("""COMPUTED_VALUE"""),"Literatura; Literatura Portugesa; Edições de bolso")</f>
        <v>Literatura; Literatura Portugesa; Edições de bolso</v>
      </c>
      <c r="G334" s="28" t="str">
        <f>IFERROR(__xludf.DUMMYFUNCTION("""COMPUTED_VALUE"""),"9788575114650")</f>
        <v>9788575114650</v>
      </c>
      <c r="H334" s="29" t="str">
        <f>IFERROR(__xludf.DUMMYFUNCTION("""COMPUTED_VALUE"""),"https://www.eduerj.com/eng/?product=o-crime-do-padre-amaro-ebook")</f>
        <v>https://www.eduerj.com/eng/?product=o-crime-do-padre-amaro-ebook</v>
      </c>
      <c r="I334" s="24" t="str">
        <f>IFERROR(__xludf.DUMMYFUNCTION("""COMPUTED_VALUE"""),"Lingüística Letras e Artes")</f>
        <v>Lingüística Letras e Artes</v>
      </c>
    </row>
    <row r="335">
      <c r="A335" s="24" t="str">
        <f>IFERROR(__xludf.DUMMYFUNCTION("""COMPUTED_VALUE"""),"O detetive de Florianópolis: crônicas")</f>
        <v>O detetive de Florianópolis: crônicas</v>
      </c>
      <c r="B335" s="24" t="str">
        <f>IFERROR(__xludf.DUMMYFUNCTION("""COMPUTED_VALUE"""),"Hamms, Jair Francisco")</f>
        <v>Hamms, Jair Francisco</v>
      </c>
      <c r="C335" s="24" t="str">
        <f>IFERROR(__xludf.DUMMYFUNCTION("""COMPUTED_VALUE"""),"Florianópolis")</f>
        <v>Florianópolis</v>
      </c>
      <c r="D335" s="24" t="str">
        <f>IFERROR(__xludf.DUMMYFUNCTION("""COMPUTED_VALUE"""),"Editora da UFSC")</f>
        <v>Editora da UFSC</v>
      </c>
      <c r="E335" s="25">
        <f>IFERROR(__xludf.DUMMYFUNCTION("""COMPUTED_VALUE"""),2012.0)</f>
        <v>2012</v>
      </c>
      <c r="F335" s="24" t="str">
        <f>IFERROR(__xludf.DUMMYFUNCTION("""COMPUTED_VALUE"""),"Literatura brasileira;Crônicas catarinenses")</f>
        <v>Literatura brasileira;Crônicas catarinenses</v>
      </c>
      <c r="G335" s="28" t="str">
        <f>IFERROR(__xludf.DUMMYFUNCTION("""COMPUTED_VALUE"""),"9788532805973")</f>
        <v>9788532805973</v>
      </c>
      <c r="H335" s="29" t="str">
        <f>IFERROR(__xludf.DUMMYFUNCTION("""COMPUTED_VALUE"""),"https://repositorio.ufsc.br/handle/123456789/187467")</f>
        <v>https://repositorio.ufsc.br/handle/123456789/187467</v>
      </c>
      <c r="I335" s="24" t="str">
        <f>IFERROR(__xludf.DUMMYFUNCTION("""COMPUTED_VALUE"""),"Lingüística Letras e Artes")</f>
        <v>Lingüística Letras e Artes</v>
      </c>
    </row>
    <row r="336">
      <c r="A336" s="24" t="str">
        <f>IFERROR(__xludf.DUMMYFUNCTION("""COMPUTED_VALUE"""),"O Ensino de Literatura Hoje")</f>
        <v>O Ensino de Literatura Hoje</v>
      </c>
      <c r="B336" s="24" t="str">
        <f>IFERROR(__xludf.DUMMYFUNCTION("""COMPUTED_VALUE"""),"Antonio de Pádua Dias da Silva")</f>
        <v>Antonio de Pádua Dias da Silva</v>
      </c>
      <c r="C336" s="24" t="str">
        <f>IFERROR(__xludf.DUMMYFUNCTION("""COMPUTED_VALUE"""),"Campina Grande")</f>
        <v>Campina Grande</v>
      </c>
      <c r="D336" s="24" t="str">
        <f>IFERROR(__xludf.DUMMYFUNCTION("""COMPUTED_VALUE"""),"EDUEPB")</f>
        <v>EDUEPB</v>
      </c>
      <c r="E336" s="25">
        <f>IFERROR(__xludf.DUMMYFUNCTION("""COMPUTED_VALUE"""),2016.0)</f>
        <v>2016</v>
      </c>
      <c r="F336" s="24" t="str">
        <f>IFERROR(__xludf.DUMMYFUNCTION("""COMPUTED_VALUE"""),"Literatura. Gêneros textuais. Leitura. Noção de escrita. Educação básica")</f>
        <v>Literatura. Gêneros textuais. Leitura. Noção de escrita. Educação básica</v>
      </c>
      <c r="G336" s="28" t="str">
        <f>IFERROR(__xludf.DUMMYFUNCTION("""COMPUTED_VALUE"""),"9788578793395")</f>
        <v>9788578793395</v>
      </c>
      <c r="H336" s="29" t="str">
        <f>IFERROR(__xludf.DUMMYFUNCTION("""COMPUTED_VALUE"""),"http://eduepb.uepb.edu.br/download/o-ensino-de-literatura-hoje/?wpdmdl=204&amp;amp;masterkey=5af99d8a1db50")</f>
        <v>http://eduepb.uepb.edu.br/download/o-ensino-de-literatura-hoje/?wpdmdl=204&amp;amp;masterkey=5af99d8a1db50</v>
      </c>
      <c r="I336" s="24" t="str">
        <f>IFERROR(__xludf.DUMMYFUNCTION("""COMPUTED_VALUE"""),"Lingüística Letras e Artes")</f>
        <v>Lingüística Letras e Artes</v>
      </c>
    </row>
    <row r="337">
      <c r="A337" s="24" t="str">
        <f>IFERROR(__xludf.DUMMYFUNCTION("""COMPUTED_VALUE"""),"O escritor e seus múltiplos (ensaios)")</f>
        <v>O escritor e seus múltiplos (ensaios)</v>
      </c>
      <c r="B337" s="24" t="str">
        <f>IFERROR(__xludf.DUMMYFUNCTION("""COMPUTED_VALUE"""),"Lígia Telles, Lívia Natália Sousa, Antonio Eduardo Laranjeira.(org.) ")</f>
        <v>Lígia Telles, Lívia Natália Sousa, Antonio Eduardo Laranjeira.(org.) </v>
      </c>
      <c r="C337" s="24" t="str">
        <f>IFERROR(__xludf.DUMMYFUNCTION("""COMPUTED_VALUE"""),"Salvador")</f>
        <v>Salvador</v>
      </c>
      <c r="D337" s="24" t="str">
        <f>IFERROR(__xludf.DUMMYFUNCTION("""COMPUTED_VALUE"""),"EDUFBA")</f>
        <v>EDUFBA</v>
      </c>
      <c r="E337" s="25">
        <f>IFERROR(__xludf.DUMMYFUNCTION("""COMPUTED_VALUE"""),2015.0)</f>
        <v>2015</v>
      </c>
      <c r="F337" s="24" t="str">
        <f>IFERROR(__xludf.DUMMYFUNCTION("""COMPUTED_VALUE"""),"Literatura brasileira; Análise crítica; Escritores brasileiros; Ensaios")</f>
        <v>Literatura brasileira; Análise crítica; Escritores brasileiros; Ensaios</v>
      </c>
      <c r="G337" s="28" t="str">
        <f>IFERROR(__xludf.DUMMYFUNCTION("""COMPUTED_VALUE"""),"9788523214142")</f>
        <v>9788523214142</v>
      </c>
      <c r="H337" s="29" t="str">
        <f>IFERROR(__xludf.DUMMYFUNCTION("""COMPUTED_VALUE"""),"http://repositorio.ufba.br/ri/handle/ri/18180")</f>
        <v>http://repositorio.ufba.br/ri/handle/ri/18180</v>
      </c>
      <c r="I337" s="24" t="str">
        <f>IFERROR(__xludf.DUMMYFUNCTION("""COMPUTED_VALUE"""),"Lingüística Letras e Artes")</f>
        <v>Lingüística Letras e Artes</v>
      </c>
    </row>
    <row r="338">
      <c r="A338" s="24" t="str">
        <f>IFERROR(__xludf.DUMMYFUNCTION("""COMPUTED_VALUE"""),"O espelho da América: de Thomas More a Jorge Luis Borges")</f>
        <v>O espelho da América: de Thomas More a Jorge Luis Borges</v>
      </c>
      <c r="B338" s="24" t="str">
        <f>IFERROR(__xludf.DUMMYFUNCTION("""COMPUTED_VALUE"""),"Ruiz, Rafael")</f>
        <v>Ruiz, Rafael</v>
      </c>
      <c r="C338" s="24" t="str">
        <f>IFERROR(__xludf.DUMMYFUNCTION("""COMPUTED_VALUE"""),"Florianópolis")</f>
        <v>Florianópolis</v>
      </c>
      <c r="D338" s="24" t="str">
        <f>IFERROR(__xludf.DUMMYFUNCTION("""COMPUTED_VALUE"""),"Editora da UFSC")</f>
        <v>Editora da UFSC</v>
      </c>
      <c r="E338" s="25">
        <f>IFERROR(__xludf.DUMMYFUNCTION("""COMPUTED_VALUE"""),2011.0)</f>
        <v>2011</v>
      </c>
      <c r="F338" s="24" t="str">
        <f>IFERROR(__xludf.DUMMYFUNCTION("""COMPUTED_VALUE"""),"Literatura brasileira;História e crítica;América;Historiografia")</f>
        <v>Literatura brasileira;História e crítica;América;Historiografia</v>
      </c>
      <c r="G338" s="28" t="str">
        <f>IFERROR(__xludf.DUMMYFUNCTION("""COMPUTED_VALUE"""),"9788532805744")</f>
        <v>9788532805744</v>
      </c>
      <c r="H338" s="29" t="str">
        <f>IFERROR(__xludf.DUMMYFUNCTION("""COMPUTED_VALUE"""),"https://repositorio.ufsc.br/handle/123456789/187923")</f>
        <v>https://repositorio.ufsc.br/handle/123456789/187923</v>
      </c>
      <c r="I338" s="24" t="str">
        <f>IFERROR(__xludf.DUMMYFUNCTION("""COMPUTED_VALUE"""),"Lingüística Letras e Artes")</f>
        <v>Lingüística Letras e Artes</v>
      </c>
    </row>
    <row r="339">
      <c r="A339" s="24" t="str">
        <f>IFERROR(__xludf.DUMMYFUNCTION("""COMPUTED_VALUE"""),"O fantástico na ilha de Santa Catarina")</f>
        <v>O fantástico na ilha de Santa Catarina</v>
      </c>
      <c r="B339" s="24" t="str">
        <f>IFERROR(__xludf.DUMMYFUNCTION("""COMPUTED_VALUE"""),"Cascaes, Franklin")</f>
        <v>Cascaes, Franklin</v>
      </c>
      <c r="C339" s="24" t="str">
        <f>IFERROR(__xludf.DUMMYFUNCTION("""COMPUTED_VALUE"""),"Florianópolis")</f>
        <v>Florianópolis</v>
      </c>
      <c r="D339" s="24" t="str">
        <f>IFERROR(__xludf.DUMMYFUNCTION("""COMPUTED_VALUE"""),"Editora da UFSC")</f>
        <v>Editora da UFSC</v>
      </c>
      <c r="E339" s="25">
        <f>IFERROR(__xludf.DUMMYFUNCTION("""COMPUTED_VALUE"""),2015.0)</f>
        <v>2015</v>
      </c>
      <c r="F339" s="24" t="str">
        <f>IFERROR(__xludf.DUMMYFUNCTION("""COMPUTED_VALUE"""),"Literatura brasileira;Bruxismo;Folclore")</f>
        <v>Literatura brasileira;Bruxismo;Folclore</v>
      </c>
      <c r="G339" s="28" t="str">
        <f>IFERROR(__xludf.DUMMYFUNCTION("""COMPUTED_VALUE"""),"9788532806079")</f>
        <v>9788532806079</v>
      </c>
      <c r="H339" s="29" t="str">
        <f>IFERROR(__xludf.DUMMYFUNCTION("""COMPUTED_VALUE"""),"https://repositorio.ufsc.br/handle/123456789/187666")</f>
        <v>https://repositorio.ufsc.br/handle/123456789/187666</v>
      </c>
      <c r="I339" s="24" t="str">
        <f>IFERROR(__xludf.DUMMYFUNCTION("""COMPUTED_VALUE"""),"Lingüística Letras e Artes")</f>
        <v>Lingüística Letras e Artes</v>
      </c>
    </row>
    <row r="340">
      <c r="A340" s="24" t="str">
        <f>IFERROR(__xludf.DUMMYFUNCTION("""COMPUTED_VALUE"""),"O feminino em Bisa Bia, Bisa Bel, de Ana Maria Machado: o trançar de uma trajetória")</f>
        <v>O feminino em Bisa Bia, Bisa Bel, de Ana Maria Machado: o trançar de uma trajetória</v>
      </c>
      <c r="B340" s="24" t="str">
        <f>IFERROR(__xludf.DUMMYFUNCTION("""COMPUTED_VALUE"""),"Lucinei Maria Bergami")</f>
        <v>Lucinei Maria Bergami</v>
      </c>
      <c r="C340" s="24" t="str">
        <f>IFERROR(__xludf.DUMMYFUNCTION("""COMPUTED_VALUE"""),"Vitória")</f>
        <v>Vitória</v>
      </c>
      <c r="D340" s="24" t="str">
        <f>IFERROR(__xludf.DUMMYFUNCTION("""COMPUTED_VALUE"""),"EDUFES")</f>
        <v>EDUFES</v>
      </c>
      <c r="E340" s="25">
        <f>IFERROR(__xludf.DUMMYFUNCTION("""COMPUTED_VALUE"""),2017.0)</f>
        <v>2017</v>
      </c>
      <c r="F340" s="24" t="str">
        <f>IFERROR(__xludf.DUMMYFUNCTION("""COMPUTED_VALUE"""),"Feminismo; Literatura brasileira; História e crítica")</f>
        <v>Feminismo; Literatura brasileira; História e crítica</v>
      </c>
      <c r="G340" s="28" t="str">
        <f>IFERROR(__xludf.DUMMYFUNCTION("""COMPUTED_VALUE"""),"9788577723669")</f>
        <v>9788577723669</v>
      </c>
      <c r="H340" s="29" t="str">
        <f>IFERROR(__xludf.DUMMYFUNCTION("""COMPUTED_VALUE"""),"http://repositorio.ufes.br/bitstream/10/6983/1/Vers%C3%A3o%20digital_O%20feminino%20em%20Bisa%20Bia%2C%20Bisa%20Bel%2C%20de%20Ana%20Maria%20Machado.pdf")</f>
        <v>http://repositorio.ufes.br/bitstream/10/6983/1/Vers%C3%A3o%20digital_O%20feminino%20em%20Bisa%20Bia%2C%20Bisa%20Bel%2C%20de%20Ana%20Maria%20Machado.pdf</v>
      </c>
      <c r="I340" s="24" t="str">
        <f>IFERROR(__xludf.DUMMYFUNCTION("""COMPUTED_VALUE"""),"Lingüística Letras e Artes")</f>
        <v>Lingüística Letras e Artes</v>
      </c>
    </row>
    <row r="341">
      <c r="A341" s="24" t="str">
        <f>IFERROR(__xludf.DUMMYFUNCTION("""COMPUTED_VALUE"""),"O holocausto (disponível temporariamente)")</f>
        <v>O holocausto (disponível temporariamente)</v>
      </c>
      <c r="B341" s="24" t="str">
        <f>IFERROR(__xludf.DUMMYFUNCTION("""COMPUTED_VALUE"""),"Pedro Américo de Figueiredo e Melo")</f>
        <v>Pedro Américo de Figueiredo e Melo</v>
      </c>
      <c r="C341" s="24" t="str">
        <f>IFERROR(__xludf.DUMMYFUNCTION("""COMPUTED_VALUE"""),"João Pessoa")</f>
        <v>João Pessoa</v>
      </c>
      <c r="D341" s="24" t="str">
        <f>IFERROR(__xludf.DUMMYFUNCTION("""COMPUTED_VALUE"""),"Editora da UFPB")</f>
        <v>Editora da UFPB</v>
      </c>
      <c r="E341" s="25">
        <f>IFERROR(__xludf.DUMMYFUNCTION("""COMPUTED_VALUE"""),2016.0)</f>
        <v>2016</v>
      </c>
      <c r="F341" s="24" t="str">
        <f>IFERROR(__xludf.DUMMYFUNCTION("""COMPUTED_VALUE"""),"Romance - Literatura brasileira. Escritores paraibanos (Areia)")</f>
        <v>Romance - Literatura brasileira. Escritores paraibanos (Areia)</v>
      </c>
      <c r="G341" s="28" t="str">
        <f>IFERROR(__xludf.DUMMYFUNCTION("""COMPUTED_VALUE"""),"9788523711665")</f>
        <v>9788523711665</v>
      </c>
      <c r="H341" s="29" t="str">
        <f>IFERROR(__xludf.DUMMYFUNCTION("""COMPUTED_VALUE"""),"http://www.editora.ufpb.br/sistema/press5/index.php/UFPB/catalog/book/298")</f>
        <v>http://www.editora.ufpb.br/sistema/press5/index.php/UFPB/catalog/book/298</v>
      </c>
      <c r="I341" s="24" t="str">
        <f>IFERROR(__xludf.DUMMYFUNCTION("""COMPUTED_VALUE"""),"Lingüística Letras e Artes")</f>
        <v>Lingüística Letras e Artes</v>
      </c>
    </row>
    <row r="342">
      <c r="A342" s="24" t="str">
        <f>IFERROR(__xludf.DUMMYFUNCTION("""COMPUTED_VALUE"""),"O indizível em Clarice Lispector: uma leitura em interface com a psicanálise")</f>
        <v>O indizível em Clarice Lispector: uma leitura em interface com a psicanálise</v>
      </c>
      <c r="B342" s="24" t="str">
        <f>IFERROR(__xludf.DUMMYFUNCTION("""COMPUTED_VALUE"""),"Ana Augusta Wanderley Rodrigues de Miranda")</f>
        <v>Ana Augusta Wanderley Rodrigues de Miranda</v>
      </c>
      <c r="C342" s="24" t="str">
        <f>IFERROR(__xludf.DUMMYFUNCTION("""COMPUTED_VALUE"""),"Vitória")</f>
        <v>Vitória</v>
      </c>
      <c r="D342" s="24" t="str">
        <f>IFERROR(__xludf.DUMMYFUNCTION("""COMPUTED_VALUE"""),"EDUFES")</f>
        <v>EDUFES</v>
      </c>
      <c r="E342" s="25">
        <f>IFERROR(__xludf.DUMMYFUNCTION("""COMPUTED_VALUE"""),2013.0)</f>
        <v>2013</v>
      </c>
      <c r="F342" s="24" t="str">
        <f>IFERROR(__xludf.DUMMYFUNCTION("""COMPUTED_VALUE"""),"Clarice Lispector; Literatura brasileira; História e crítica; Psicanálise")</f>
        <v>Clarice Lispector; Literatura brasileira; História e crítica; Psicanálise</v>
      </c>
      <c r="G342" s="28" t="str">
        <f>IFERROR(__xludf.DUMMYFUNCTION("""COMPUTED_VALUE"""),"9788577721504")</f>
        <v>9788577721504</v>
      </c>
      <c r="H342" s="29" t="str">
        <f>IFERROR(__xludf.DUMMYFUNCTION("""COMPUTED_VALUE"""),"http://repositorio.ufes.br/bitstream/10/826/1/livro%20edufes%20O%20indiz%C3%ADvel%20em%20Clarice%20Lispector%20uma%20leitura%20em%20interface.pdf")</f>
        <v>http://repositorio.ufes.br/bitstream/10/826/1/livro%20edufes%20O%20indiz%C3%ADvel%20em%20Clarice%20Lispector%20uma%20leitura%20em%20interface.pdf</v>
      </c>
      <c r="I342" s="24" t="str">
        <f>IFERROR(__xludf.DUMMYFUNCTION("""COMPUTED_VALUE"""),"Lingüística Letras e Artes")</f>
        <v>Lingüística Letras e Artes</v>
      </c>
    </row>
    <row r="343">
      <c r="A343" s="24" t="str">
        <f>IFERROR(__xludf.DUMMYFUNCTION("""COMPUTED_VALUE"""),"O léxico da língua de santo: a língua do povo de santo em terreiros de candomblé de Rio Branco, Acre")</f>
        <v>O léxico da língua de santo: a língua do povo de santo em terreiros de candomblé de Rio Branco, Acre</v>
      </c>
      <c r="B343" s="24" t="str">
        <f>IFERROR(__xludf.DUMMYFUNCTION("""COMPUTED_VALUE"""),"Océlio Lima de Oliveira")</f>
        <v>Océlio Lima de Oliveira</v>
      </c>
      <c r="C343" s="24" t="str">
        <f>IFERROR(__xludf.DUMMYFUNCTION("""COMPUTED_VALUE"""),"Rio Branco")</f>
        <v>Rio Branco</v>
      </c>
      <c r="D343" s="24" t="str">
        <f>IFERROR(__xludf.DUMMYFUNCTION("""COMPUTED_VALUE"""),"Edufac")</f>
        <v>Edufac</v>
      </c>
      <c r="E343" s="25">
        <f>IFERROR(__xludf.DUMMYFUNCTION("""COMPUTED_VALUE"""),2019.0)</f>
        <v>2019</v>
      </c>
      <c r="F343" s="24" t="str">
        <f>IFERROR(__xludf.DUMMYFUNCTION("""COMPUTED_VALUE"""),"Candomblé; Candomblé – Oralidade; Léxico")</f>
        <v>Candomblé; Candomblé – Oralidade; Léxico</v>
      </c>
      <c r="G343" s="28" t="str">
        <f>IFERROR(__xludf.DUMMYFUNCTION("""COMPUTED_VALUE"""),"9788582361061")</f>
        <v>9788582361061</v>
      </c>
      <c r="H343" s="29" t="str">
        <f>IFERROR(__xludf.DUMMYFUNCTION("""COMPUTED_VALUE"""),"http://www2.ufac.br/editora/livros/OLXICO_OCLIO.pdf")</f>
        <v>http://www2.ufac.br/editora/livros/OLXICO_OCLIO.pdf</v>
      </c>
      <c r="I343" s="24" t="str">
        <f>IFERROR(__xludf.DUMMYFUNCTION("""COMPUTED_VALUE"""),"Lingüística Letras e Artes")</f>
        <v>Lingüística Letras e Artes</v>
      </c>
    </row>
    <row r="344">
      <c r="A344" s="24" t="str">
        <f>IFERROR(__xludf.DUMMYFUNCTION("""COMPUTED_VALUE"""),"O livre-arbítrio das ervas: dentro e fora do jardim")</f>
        <v>O livre-arbítrio das ervas: dentro e fora do jardim</v>
      </c>
      <c r="B344" s="24" t="str">
        <f>IFERROR(__xludf.DUMMYFUNCTION("""COMPUTED_VALUE"""),"Neuzamaria Kerner")</f>
        <v>Neuzamaria Kerner</v>
      </c>
      <c r="C344" s="24" t="str">
        <f>IFERROR(__xludf.DUMMYFUNCTION("""COMPUTED_VALUE"""),"Ilhéus, BA")</f>
        <v>Ilhéus, BA</v>
      </c>
      <c r="D344" s="24" t="str">
        <f>IFERROR(__xludf.DUMMYFUNCTION("""COMPUTED_VALUE"""),"Editus")</f>
        <v>Editus</v>
      </c>
      <c r="E344" s="25">
        <f>IFERROR(__xludf.DUMMYFUNCTION("""COMPUTED_VALUE"""),2014.0)</f>
        <v>2014</v>
      </c>
      <c r="F344" s="24" t="str">
        <f>IFERROR(__xludf.DUMMYFUNCTION("""COMPUTED_VALUE"""),"Poesia brasileira; Literatura brasileira; Mulheres na literatura")</f>
        <v>Poesia brasileira; Literatura brasileira; Mulheres na literatura</v>
      </c>
      <c r="G344" s="28" t="str">
        <f>IFERROR(__xludf.DUMMYFUNCTION("""COMPUTED_VALUE"""),"9788574553665")</f>
        <v>9788574553665</v>
      </c>
      <c r="H344" s="29" t="str">
        <f>IFERROR(__xludf.DUMMYFUNCTION("""COMPUTED_VALUE"""),"http://www.uesc.br/editora/livrosdigitais2016/o_livro_arbitrio_das_evas.pdf")</f>
        <v>http://www.uesc.br/editora/livrosdigitais2016/o_livro_arbitrio_das_evas.pdf</v>
      </c>
      <c r="I344" s="24" t="str">
        <f>IFERROR(__xludf.DUMMYFUNCTION("""COMPUTED_VALUE"""),"Lingüística Letras e Artes")</f>
        <v>Lingüística Letras e Artes</v>
      </c>
    </row>
    <row r="345">
      <c r="A345" s="24" t="str">
        <f>IFERROR(__xludf.DUMMYFUNCTION("""COMPUTED_VALUE"""),"O lugar do abjeto")</f>
        <v>O lugar do abjeto</v>
      </c>
      <c r="B345" s="24" t="str">
        <f>IFERROR(__xludf.DUMMYFUNCTION("""COMPUTED_VALUE"""),"Santos, Rosana Cristina Zanelatto; Benatti, André Rezende")</f>
        <v>Santos, Rosana Cristina Zanelatto; Benatti, André Rezende</v>
      </c>
      <c r="C345" s="24" t="str">
        <f>IFERROR(__xludf.DUMMYFUNCTION("""COMPUTED_VALUE"""),"Pelotas")</f>
        <v>Pelotas</v>
      </c>
      <c r="D345" s="24" t="str">
        <f>IFERROR(__xludf.DUMMYFUNCTION("""COMPUTED_VALUE"""),"UFPel")</f>
        <v>UFPel</v>
      </c>
      <c r="E345" s="25">
        <f>IFERROR(__xludf.DUMMYFUNCTION("""COMPUTED_VALUE"""),2019.0)</f>
        <v>2019</v>
      </c>
      <c r="F345" s="24" t="str">
        <f>IFERROR(__xludf.DUMMYFUNCTION("""COMPUTED_VALUE"""),"Literatura; Literatura comparada")</f>
        <v>Literatura; Literatura comparada</v>
      </c>
      <c r="G345" s="28" t="str">
        <f>IFERROR(__xludf.DUMMYFUNCTION("""COMPUTED_VALUE"""),"9788551700464")</f>
        <v>9788551700464</v>
      </c>
      <c r="H345" s="29" t="str">
        <f>IFERROR(__xludf.DUMMYFUNCTION("""COMPUTED_VALUE"""),"http://guaiaca.ufpel.edu.br:8080/bitstream/prefix/4701/1/O_lugar_do_abjeto.pdf")</f>
        <v>http://guaiaca.ufpel.edu.br:8080/bitstream/prefix/4701/1/O_lugar_do_abjeto.pdf</v>
      </c>
      <c r="I345" s="24" t="str">
        <f>IFERROR(__xludf.DUMMYFUNCTION("""COMPUTED_VALUE"""),"Lingüística Letras e Artes")</f>
        <v>Lingüística Letras e Artes</v>
      </c>
    </row>
    <row r="346">
      <c r="A346" s="24" t="str">
        <f>IFERROR(__xludf.DUMMYFUNCTION("""COMPUTED_VALUE"""),"O melodrama e outras drogas : uma estética do paradoxo no pós-boom latino-americano")</f>
        <v>O melodrama e outras drogas : uma estética do paradoxo no pós-boom latino-americano</v>
      </c>
      <c r="B346" s="24" t="str">
        <f>IFERROR(__xludf.DUMMYFUNCTION("""COMPUTED_VALUE"""),"Wanderlan Alves")</f>
        <v>Wanderlan Alves</v>
      </c>
      <c r="C346" s="24" t="str">
        <f>IFERROR(__xludf.DUMMYFUNCTION("""COMPUTED_VALUE"""),"Campina Grande")</f>
        <v>Campina Grande</v>
      </c>
      <c r="D346" s="24" t="str">
        <f>IFERROR(__xludf.DUMMYFUNCTION("""COMPUTED_VALUE"""),"EDUEPB")</f>
        <v>EDUEPB</v>
      </c>
      <c r="E346" s="25">
        <f>IFERROR(__xludf.DUMMYFUNCTION("""COMPUTED_VALUE"""),2019.0)</f>
        <v>2019</v>
      </c>
      <c r="F346" s="24" t="str">
        <f>IFERROR(__xludf.DUMMYFUNCTION("""COMPUTED_VALUE"""),"Melodrama - História e crítica. Literatura latino-medieval. Estética melodramática - Pós-boom. Releitura radioteatro. Literatura latino-americana. Crítica literária - Indústria cultural")</f>
        <v>Melodrama - História e crítica. Literatura latino-medieval. Estética melodramática - Pós-boom. Releitura radioteatro. Literatura latino-americana. Crítica literária - Indústria cultural</v>
      </c>
      <c r="G346" s="28" t="str">
        <f>IFERROR(__xludf.DUMMYFUNCTION("""COMPUTED_VALUE"""),"9788578795771")</f>
        <v>9788578795771</v>
      </c>
      <c r="H346" s="29" t="str">
        <f>IFERROR(__xludf.DUMMYFUNCTION("""COMPUTED_VALUE"""),"http://eduepb.uepb.edu.br/download/o-melodrama-e-outras-drogas/?wpdmdl=918&amp;#038;masterkey=5dee44e4d477f")</f>
        <v>http://eduepb.uepb.edu.br/download/o-melodrama-e-outras-drogas/?wpdmdl=918&amp;#038;masterkey=5dee44e4d477f</v>
      </c>
      <c r="I346" s="24" t="str">
        <f>IFERROR(__xludf.DUMMYFUNCTION("""COMPUTED_VALUE"""),"Lingüística Letras e Artes")</f>
        <v>Lingüística Letras e Artes</v>
      </c>
    </row>
    <row r="347">
      <c r="A347" s="24" t="str">
        <f>IFERROR(__xludf.DUMMYFUNCTION("""COMPUTED_VALUE"""),"O mistério de Frida Zeiden")</f>
        <v>O mistério de Frida Zeiden</v>
      </c>
      <c r="B347" s="24" t="str">
        <f>IFERROR(__xludf.DUMMYFUNCTION("""COMPUTED_VALUE"""),"Castro, Renato Barros de")</f>
        <v>Castro, Renato Barros de</v>
      </c>
      <c r="C347" s="24" t="str">
        <f>IFERROR(__xludf.DUMMYFUNCTION("""COMPUTED_VALUE"""),"Fortaleza, CE")</f>
        <v>Fortaleza, CE</v>
      </c>
      <c r="D347" s="24" t="str">
        <f>IFERROR(__xludf.DUMMYFUNCTION("""COMPUTED_VALUE"""),"Edições UFC")</f>
        <v>Edições UFC</v>
      </c>
      <c r="E347" s="25">
        <f>IFERROR(__xludf.DUMMYFUNCTION("""COMPUTED_VALUE"""),2017.0)</f>
        <v>2017</v>
      </c>
      <c r="F347" s="24" t="str">
        <f>IFERROR(__xludf.DUMMYFUNCTION("""COMPUTED_VALUE"""),"Literatura. Contos")</f>
        <v>Literatura. Contos</v>
      </c>
      <c r="G347" s="28" t="str">
        <f>IFERROR(__xludf.DUMMYFUNCTION("""COMPUTED_VALUE"""),"9788582454299")</f>
        <v>9788582454299</v>
      </c>
      <c r="H347" s="29" t="str">
        <f>IFERROR(__xludf.DUMMYFUNCTION("""COMPUTED_VALUE"""),"http://www.editora.ufc.br/catalogo/32-literatura/603-o-misterio-de-frida-zeiden")</f>
        <v>http://www.editora.ufc.br/catalogo/32-literatura/603-o-misterio-de-frida-zeiden</v>
      </c>
      <c r="I347" s="24" t="str">
        <f>IFERROR(__xludf.DUMMYFUNCTION("""COMPUTED_VALUE"""),"Lingüística Letras e Artes")</f>
        <v>Lingüística Letras e Artes</v>
      </c>
    </row>
    <row r="348">
      <c r="A348" s="24" t="str">
        <f>IFERROR(__xludf.DUMMYFUNCTION("""COMPUTED_VALUE"""),"O Passado no presente: releituras da modernidade ")</f>
        <v>O Passado no presente: releituras da modernidade </v>
      </c>
      <c r="B348" s="24" t="str">
        <f>IFERROR(__xludf.DUMMYFUNCTION("""COMPUTED_VALUE"""),"organizado por Maria Elizabeth Chaves de Mello e Maria Ruth Machado Fellows.")</f>
        <v>organizado por Maria Elizabeth Chaves de Mello e Maria Ruth Machado Fellows.</v>
      </c>
      <c r="C348" s="24" t="str">
        <f>IFERROR(__xludf.DUMMYFUNCTION("""COMPUTED_VALUE"""),"Niterói, RJ")</f>
        <v>Niterói, RJ</v>
      </c>
      <c r="D348" s="24" t="str">
        <f>IFERROR(__xludf.DUMMYFUNCTION("""COMPUTED_VALUE"""),"Editora da UFF")</f>
        <v>Editora da UFF</v>
      </c>
      <c r="E348" s="25">
        <f>IFERROR(__xludf.DUMMYFUNCTION("""COMPUTED_VALUE"""),2011.0)</f>
        <v>2011</v>
      </c>
      <c r="F348" s="24" t="str">
        <f>IFERROR(__xludf.DUMMYFUNCTION("""COMPUTED_VALUE"""),"Literatura; Memória")</f>
        <v>Literatura; Memória</v>
      </c>
      <c r="G348" s="28" t="str">
        <f>IFERROR(__xludf.DUMMYFUNCTION("""COMPUTED_VALUE"""),"9788522806676")</f>
        <v>9788522806676</v>
      </c>
      <c r="H348" s="29" t="str">
        <f>IFERROR(__xludf.DUMMYFUNCTION("""COMPUTED_VALUE"""),"https://bit.ly/O-passado-no-presente")</f>
        <v>https://bit.ly/O-passado-no-presente</v>
      </c>
      <c r="I348" s="24" t="str">
        <f>IFERROR(__xludf.DUMMYFUNCTION("""COMPUTED_VALUE"""),"Lingüística Letras e Artes")</f>
        <v>Lingüística Letras e Artes</v>
      </c>
    </row>
    <row r="349">
      <c r="A349" s="24" t="str">
        <f>IFERROR(__xludf.DUMMYFUNCTION("""COMPUTED_VALUE"""),"O rato saliente: uma história de enrolar a língua")</f>
        <v>O rato saliente: uma história de enrolar a língua</v>
      </c>
      <c r="B349" s="24" t="str">
        <f>IFERROR(__xludf.DUMMYFUNCTION("""COMPUTED_VALUE"""),"Leônidas Azevedo Filho; ilustrações Bruno Santana. ")</f>
        <v>Leônidas Azevedo Filho; ilustrações Bruno Santana. </v>
      </c>
      <c r="C349" s="24" t="str">
        <f>IFERROR(__xludf.DUMMYFUNCTION("""COMPUTED_VALUE"""),"Ilhéus, BA")</f>
        <v>Ilhéus, BA</v>
      </c>
      <c r="D349" s="24" t="str">
        <f>IFERROR(__xludf.DUMMYFUNCTION("""COMPUTED_VALUE"""),"Editus")</f>
        <v>Editus</v>
      </c>
      <c r="E349" s="25">
        <f>IFERROR(__xludf.DUMMYFUNCTION("""COMPUTED_VALUE"""),2014.0)</f>
        <v>2014</v>
      </c>
      <c r="F349" s="24" t="str">
        <f>IFERROR(__xludf.DUMMYFUNCTION("""COMPUTED_VALUE"""),"Literatura Infantojuvenil")</f>
        <v>Literatura Infantojuvenil</v>
      </c>
      <c r="G349" s="28" t="str">
        <f>IFERROR(__xludf.DUMMYFUNCTION("""COMPUTED_VALUE"""),"9788574553658")</f>
        <v>9788574553658</v>
      </c>
      <c r="H349" s="29" t="str">
        <f>IFERROR(__xludf.DUMMYFUNCTION("""COMPUTED_VALUE"""),"http://www.uesc.br/editora/livrosdigitais2017/o_rato_saliente.pdf")</f>
        <v>http://www.uesc.br/editora/livrosdigitais2017/o_rato_saliente.pdf</v>
      </c>
      <c r="I349" s="24" t="str">
        <f>IFERROR(__xludf.DUMMYFUNCTION("""COMPUTED_VALUE"""),"Lingüística Letras e Artes")</f>
        <v>Lingüística Letras e Artes</v>
      </c>
    </row>
    <row r="350">
      <c r="A350" s="24" t="str">
        <f>IFERROR(__xludf.DUMMYFUNCTION("""COMPUTED_VALUE"""),"O Rural como Paisagem")</f>
        <v>O Rural como Paisagem</v>
      </c>
      <c r="B350" s="24" t="str">
        <f>IFERROR(__xludf.DUMMYFUNCTION("""COMPUTED_VALUE"""),"Glaucio Marafon ; curadoria, Marcelo Campos e Analu Cunha")</f>
        <v>Glaucio Marafon ; curadoria, Marcelo Campos e Analu Cunha</v>
      </c>
      <c r="C350" s="24" t="str">
        <f>IFERROR(__xludf.DUMMYFUNCTION("""COMPUTED_VALUE"""),"Rio de Janeiro")</f>
        <v>Rio de Janeiro</v>
      </c>
      <c r="D350" s="24" t="str">
        <f>IFERROR(__xludf.DUMMYFUNCTION("""COMPUTED_VALUE"""),"EdUERJ")</f>
        <v>EdUERJ</v>
      </c>
      <c r="E350" s="25">
        <f>IFERROR(__xludf.DUMMYFUNCTION("""COMPUTED_VALUE"""),2019.0)</f>
        <v>2019</v>
      </c>
      <c r="F350" s="24" t="str">
        <f>IFERROR(__xludf.DUMMYFUNCTION("""COMPUTED_VALUE"""),"Fotografia; Exposições; Geografia")</f>
        <v>Fotografia; Exposições; Geografia</v>
      </c>
      <c r="G350" s="28" t="str">
        <f>IFERROR(__xludf.DUMMYFUNCTION("""COMPUTED_VALUE"""),"9788585954970")</f>
        <v>9788585954970</v>
      </c>
      <c r="H350" s="29" t="str">
        <f>IFERROR(__xludf.DUMMYFUNCTION("""COMPUTED_VALUE"""),"https://www.eduerj.com/eng/?product=o-rural-como-paisagem")</f>
        <v>https://www.eduerj.com/eng/?product=o-rural-como-paisagem</v>
      </c>
      <c r="I350" s="24" t="str">
        <f>IFERROR(__xludf.DUMMYFUNCTION("""COMPUTED_VALUE"""),"Lingüística Letras e Artes")</f>
        <v>Lingüística Letras e Artes</v>
      </c>
    </row>
    <row r="351">
      <c r="A351" s="24" t="str">
        <f>IFERROR(__xludf.DUMMYFUNCTION("""COMPUTED_VALUE"""),"O Sapateiro Silva")</f>
        <v>O Sapateiro Silva</v>
      </c>
      <c r="B351" s="24" t="str">
        <f>IFERROR(__xludf.DUMMYFUNCTION("""COMPUTED_VALUE"""),"estudos de; Flora Süssekind e Rachel Teixeira Valença; poemas de; Joaquim José da Silva")</f>
        <v>estudos de; Flora Süssekind e Rachel Teixeira Valença; poemas de; Joaquim José da Silva</v>
      </c>
      <c r="C351" s="24" t="str">
        <f>IFERROR(__xludf.DUMMYFUNCTION("""COMPUTED_VALUE"""),"Rio de Janeiro")</f>
        <v>Rio de Janeiro</v>
      </c>
      <c r="D351" s="24" t="str">
        <f>IFERROR(__xludf.DUMMYFUNCTION("""COMPUTED_VALUE"""),"Fundação Casa de Rui Barbosa")</f>
        <v>Fundação Casa de Rui Barbosa</v>
      </c>
      <c r="E351" s="25">
        <f>IFERROR(__xludf.DUMMYFUNCTION("""COMPUTED_VALUE"""),1983.0)</f>
        <v>1983</v>
      </c>
      <c r="F351" s="24" t="str">
        <f>IFERROR(__xludf.DUMMYFUNCTION("""COMPUTED_VALUE"""),"Silva, Joaquim José da; Crítica literária")</f>
        <v>Silva, Joaquim José da; Crítica literária</v>
      </c>
      <c r="G351" s="28" t="str">
        <f>IFERROR(__xludf.DUMMYFUNCTION("""COMPUTED_VALUE"""),"8570040628")</f>
        <v>8570040628</v>
      </c>
      <c r="H351" s="29" t="str">
        <f>IFERROR(__xludf.DUMMYFUNCTION("""COMPUTED_VALUE"""),"http://www.casaruibarbosa.gov.br/arquivos/file/O%20Sapateiro%20Silva%20-%20OCR.pdf")</f>
        <v>http://www.casaruibarbosa.gov.br/arquivos/file/O%20Sapateiro%20Silva%20-%20OCR.pdf</v>
      </c>
      <c r="I351" s="24" t="str">
        <f>IFERROR(__xludf.DUMMYFUNCTION("""COMPUTED_VALUE"""),"Lingüística Letras e Artes")</f>
        <v>Lingüística Letras e Artes</v>
      </c>
    </row>
    <row r="352">
      <c r="A352" s="24" t="str">
        <f>IFERROR(__xludf.DUMMYFUNCTION("""COMPUTED_VALUE"""),"O segundo caçador (III Prêmio UFES de Literatura)")</f>
        <v>O segundo caçador (III Prêmio UFES de Literatura)</v>
      </c>
      <c r="B352" s="24" t="str">
        <f>IFERROR(__xludf.DUMMYFUNCTION("""COMPUTED_VALUE"""),"Bruno da Silva Crispim")</f>
        <v>Bruno da Silva Crispim</v>
      </c>
      <c r="C352" s="24" t="str">
        <f>IFERROR(__xludf.DUMMYFUNCTION("""COMPUTED_VALUE"""),"Vitória")</f>
        <v>Vitória</v>
      </c>
      <c r="D352" s="24" t="str">
        <f>IFERROR(__xludf.DUMMYFUNCTION("""COMPUTED_VALUE"""),"EDUFES")</f>
        <v>EDUFES</v>
      </c>
      <c r="E352" s="25">
        <f>IFERROR(__xludf.DUMMYFUNCTION("""COMPUTED_VALUE"""),2016.0)</f>
        <v>2016</v>
      </c>
      <c r="F352" s="24" t="str">
        <f>IFERROR(__xludf.DUMMYFUNCTION("""COMPUTED_VALUE"""),"Ficção brasileira; Ficção; Literatura")</f>
        <v>Ficção brasileira; Ficção; Literatura</v>
      </c>
      <c r="G352" s="28" t="str">
        <f>IFERROR(__xludf.DUMMYFUNCTION("""COMPUTED_VALUE"""),"9788577723546")</f>
        <v>9788577723546</v>
      </c>
      <c r="H352" s="29" t="str">
        <f>IFERROR(__xludf.DUMMYFUNCTION("""COMPUTED_VALUE"""),"http://repositorio.ufes.br/handle/10/6788")</f>
        <v>http://repositorio.ufes.br/handle/10/6788</v>
      </c>
      <c r="I352" s="24" t="str">
        <f>IFERROR(__xludf.DUMMYFUNCTION("""COMPUTED_VALUE"""),"Lingüística Letras e Artes")</f>
        <v>Lingüística Letras e Artes</v>
      </c>
    </row>
    <row r="353">
      <c r="A353" s="24" t="str">
        <f>IFERROR(__xludf.DUMMYFUNCTION("""COMPUTED_VALUE"""),"O triunfo de Sosígenes Costa: (estudos, depoimentos e antologia)")</f>
        <v>O triunfo de Sosígenes Costa: (estudos, depoimentos e antologia)</v>
      </c>
      <c r="B353" s="24" t="str">
        <f>IFERROR(__xludf.DUMMYFUNCTION("""COMPUTED_VALUE"""),"Seleção; organização e notas de Cyro de Mattos, Aleilton Fonseca. ")</f>
        <v>Seleção; organização e notas de Cyro de Mattos, Aleilton Fonseca. </v>
      </c>
      <c r="C353" s="24" t="str">
        <f>IFERROR(__xludf.DUMMYFUNCTION("""COMPUTED_VALUE"""),"Ilhéus, BA")</f>
        <v>Ilhéus, BA</v>
      </c>
      <c r="D353" s="24" t="str">
        <f>IFERROR(__xludf.DUMMYFUNCTION("""COMPUTED_VALUE"""),"Editus/UEFS-Ed")</f>
        <v>Editus/UEFS-Ed</v>
      </c>
      <c r="E353" s="25">
        <f>IFERROR(__xludf.DUMMYFUNCTION("""COMPUTED_VALUE"""),2004.0)</f>
        <v>2004</v>
      </c>
      <c r="F353" s="24" t="str">
        <f>IFERROR(__xludf.DUMMYFUNCTION("""COMPUTED_VALUE"""),"Costa, Sosígenes, 1901-1968; Literatura – Antologia; Literatura brasileira – Depoimentos; Ensaios – Crítica")</f>
        <v>Costa, Sosígenes, 1901-1968; Literatura – Antologia; Literatura brasileira – Depoimentos; Ensaios – Crítica</v>
      </c>
      <c r="G353" s="28" t="str">
        <f>IFERROR(__xludf.DUMMYFUNCTION("""COMPUTED_VALUE"""),"8574550884")</f>
        <v>8574550884</v>
      </c>
      <c r="H353" s="29" t="str">
        <f>IFERROR(__xludf.DUMMYFUNCTION("""COMPUTED_VALUE"""),"http://www.uesc.br/editora/livrosdigitais_20140513/otriunfodesosigenescosta.pdf")</f>
        <v>http://www.uesc.br/editora/livrosdigitais_20140513/otriunfodesosigenescosta.pdf</v>
      </c>
      <c r="I353" s="24" t="str">
        <f>IFERROR(__xludf.DUMMYFUNCTION("""COMPUTED_VALUE"""),"Lingüística Letras e Artes")</f>
        <v>Lingüística Letras e Artes</v>
      </c>
    </row>
    <row r="354">
      <c r="A354" s="24" t="str">
        <f>IFERROR(__xludf.DUMMYFUNCTION("""COMPUTED_VALUE"""),"O vervo satírico: provérbio e proverbialização na sátira galego-portuguesa")</f>
        <v>O vervo satírico: provérbio e proverbialização na sátira galego-portuguesa</v>
      </c>
      <c r="B354" s="24" t="str">
        <f>IFERROR(__xludf.DUMMYFUNCTION("""COMPUTED_VALUE"""),"Fernanda Scopel Falcão")</f>
        <v>Fernanda Scopel Falcão</v>
      </c>
      <c r="C354" s="24" t="str">
        <f>IFERROR(__xludf.DUMMYFUNCTION("""COMPUTED_VALUE"""),"Vitória")</f>
        <v>Vitória</v>
      </c>
      <c r="D354" s="24" t="str">
        <f>IFERROR(__xludf.DUMMYFUNCTION("""COMPUTED_VALUE"""),"EDUFES")</f>
        <v>EDUFES</v>
      </c>
      <c r="E354" s="25">
        <f>IFERROR(__xludf.DUMMYFUNCTION("""COMPUTED_VALUE"""),2012.0)</f>
        <v>2012</v>
      </c>
      <c r="F354" s="24" t="str">
        <f>IFERROR(__xludf.DUMMYFUNCTION("""COMPUTED_VALUE"""),"Sátira portuguesa; Provérbios; Proverbialização")</f>
        <v>Sátira portuguesa; Provérbios; Proverbialização</v>
      </c>
      <c r="G354" s="28" t="str">
        <f>IFERROR(__xludf.DUMMYFUNCTION("""COMPUTED_VALUE"""),"9788577721238")</f>
        <v>9788577721238</v>
      </c>
      <c r="H354" s="29" t="str">
        <f>IFERROR(__xludf.DUMMYFUNCTION("""COMPUTED_VALUE"""),"http://repositorio.ufes.br/bitstream/10/786/6/Versao%20digital%20atualizada%20livro%20edufes%20o%20vervo%20sat%C3%ADrico.pdf.pdf")</f>
        <v>http://repositorio.ufes.br/bitstream/10/786/6/Versao%20digital%20atualizada%20livro%20edufes%20o%20vervo%20sat%C3%ADrico.pdf.pdf</v>
      </c>
      <c r="I354" s="24" t="str">
        <f>IFERROR(__xludf.DUMMYFUNCTION("""COMPUTED_VALUE"""),"Lingüística Letras e Artes")</f>
        <v>Lingüística Letras e Artes</v>
      </c>
    </row>
    <row r="355">
      <c r="A355" s="24" t="str">
        <f>IFERROR(__xludf.DUMMYFUNCTION("""COMPUTED_VALUE"""),"Obras Completas de Rui Barbosa: discursos de Rui Barbosa em Haia")</f>
        <v>Obras Completas de Rui Barbosa: discursos de Rui Barbosa em Haia</v>
      </c>
      <c r="B355" s="24" t="str">
        <f>IFERROR(__xludf.DUMMYFUNCTION("""COMPUTED_VALUE"""),"Traduzidos para o português por; Estela Abreu e Artur Bomílcar; Revisão, introdução e notas de Marta de Senna")</f>
        <v>Traduzidos para o português por; Estela Abreu e Artur Bomílcar; Revisão, introdução e notas de Marta de Senna</v>
      </c>
      <c r="C355" s="24" t="str">
        <f>IFERROR(__xludf.DUMMYFUNCTION("""COMPUTED_VALUE"""),"Rio de Janeiro")</f>
        <v>Rio de Janeiro</v>
      </c>
      <c r="D355" s="24" t="str">
        <f>IFERROR(__xludf.DUMMYFUNCTION("""COMPUTED_VALUE"""),"Fundação Casa de Rui Barbosa")</f>
        <v>Fundação Casa de Rui Barbosa</v>
      </c>
      <c r="E355" s="25">
        <f>IFERROR(__xludf.DUMMYFUNCTION("""COMPUTED_VALUE"""),2007.0)</f>
        <v>2007</v>
      </c>
      <c r="F355" s="24" t="str">
        <f>IFERROR(__xludf.DUMMYFUNCTION("""COMPUTED_VALUE"""),"Barbosa, Rui, 1849-1923 - Discurso - Haia (Holanda). Conferência; Internacional da Paz (2. : 1907 : Haia, Holanda)")</f>
        <v>Barbosa, Rui, 1849-1923 - Discurso - Haia (Holanda). Conferência; Internacional da Paz (2. : 1907 : Haia, Holanda)</v>
      </c>
      <c r="G355" s="28" t="str">
        <f>IFERROR(__xludf.DUMMYFUNCTION("""COMPUTED_VALUE"""),"9788570042828")</f>
        <v>9788570042828</v>
      </c>
      <c r="H355" s="29" t="str">
        <f>IFERROR(__xludf.DUMMYFUNCTION("""COMPUTED_VALUE"""),"http://www.casaruibarbosa.gov.br/arquivos/file/Discursos%20de%20Rui%20Barbosa%20em%20Haia%20OCR.pdf")</f>
        <v>http://www.casaruibarbosa.gov.br/arquivos/file/Discursos%20de%20Rui%20Barbosa%20em%20Haia%20OCR.pdf</v>
      </c>
      <c r="I355" s="24" t="str">
        <f>IFERROR(__xludf.DUMMYFUNCTION("""COMPUTED_VALUE"""),"Lingüística Letras e Artes")</f>
        <v>Lingüística Letras e Artes</v>
      </c>
    </row>
    <row r="356">
      <c r="A356" s="24" t="str">
        <f>IFERROR(__xludf.DUMMYFUNCTION("""COMPUTED_VALUE"""),"Olhar a vida, escrever literatura: questão de arte")</f>
        <v>Olhar a vida, escrever literatura: questão de arte</v>
      </c>
      <c r="B356" s="24" t="str">
        <f>IFERROR(__xludf.DUMMYFUNCTION("""COMPUTED_VALUE"""),"MADALENA MACHADO (org.)")</f>
        <v>MADALENA MACHADO (org.)</v>
      </c>
      <c r="C356" s="24" t="str">
        <f>IFERROR(__xludf.DUMMYFUNCTION("""COMPUTED_VALUE"""),"Pontes de Lacerda")</f>
        <v>Pontes de Lacerda</v>
      </c>
      <c r="D356" s="24" t="str">
        <f>IFERROR(__xludf.DUMMYFUNCTION("""COMPUTED_VALUE"""),"UNEMAT")</f>
        <v>UNEMAT</v>
      </c>
      <c r="E356" s="25">
        <f>IFERROR(__xludf.DUMMYFUNCTION("""COMPUTED_VALUE"""),2020.0)</f>
        <v>2020</v>
      </c>
      <c r="F356" s="24" t="str">
        <f>IFERROR(__xludf.DUMMYFUNCTION("""COMPUTED_VALUE"""),"Literatura; Estudos literários")</f>
        <v>Literatura; Estudos literários</v>
      </c>
      <c r="G356" s="28" t="str">
        <f>IFERROR(__xludf.DUMMYFUNCTION("""COMPUTED_VALUE"""),"9786599014260")</f>
        <v>9786599014260</v>
      </c>
      <c r="H356" s="29" t="str">
        <f>IFERROR(__xludf.DUMMYFUNCTION("""COMPUTED_VALUE"""),"http://portal.unemat.br/media/files/Editora/e-book%20-%20Olhar%20a%20Vida.pdf")</f>
        <v>http://portal.unemat.br/media/files/Editora/e-book%20-%20Olhar%20a%20Vida.pdf</v>
      </c>
      <c r="I356" s="24" t="str">
        <f>IFERROR(__xludf.DUMMYFUNCTION("""COMPUTED_VALUE"""),"Lingüística Letras e Artes")</f>
        <v>Lingüística Letras e Artes</v>
      </c>
    </row>
    <row r="357">
      <c r="A357" s="24" t="str">
        <f>IFERROR(__xludf.DUMMYFUNCTION("""COMPUTED_VALUE"""),"Olhares da Favela")</f>
        <v>Olhares da Favela</v>
      </c>
      <c r="B357" s="24" t="str">
        <f>IFERROR(__xludf.DUMMYFUNCTION("""COMPUTED_VALUE"""),"Portella, Adriana; Pereira, Gisele Silva")</f>
        <v>Portella, Adriana; Pereira, Gisele Silva</v>
      </c>
      <c r="C357" s="24" t="str">
        <f>IFERROR(__xludf.DUMMYFUNCTION("""COMPUTED_VALUE"""),"Pelotas")</f>
        <v>Pelotas</v>
      </c>
      <c r="D357" s="24" t="str">
        <f>IFERROR(__xludf.DUMMYFUNCTION("""COMPUTED_VALUE"""),"UFPel")</f>
        <v>UFPel</v>
      </c>
      <c r="E357" s="25">
        <f>IFERROR(__xludf.DUMMYFUNCTION("""COMPUTED_VALUE"""),2018.0)</f>
        <v>2018</v>
      </c>
      <c r="F357" s="24" t="str">
        <f>IFERROR(__xludf.DUMMYFUNCTION("""COMPUTED_VALUE"""),"Favela; Olhares; Insights; Gentrificação; Turismo; Imagem; Megaevento")</f>
        <v>Favela; Olhares; Insights; Gentrificação; Turismo; Imagem; Megaevento</v>
      </c>
      <c r="G357" s="28" t="str">
        <f>IFERROR(__xludf.DUMMYFUNCTION("""COMPUTED_VALUE"""),"9788551700150")</f>
        <v>9788551700150</v>
      </c>
      <c r="H357" s="29" t="str">
        <f>IFERROR(__xludf.DUMMYFUNCTION("""COMPUTED_VALUE"""),"http://repositorio.ufpel.edu.br:8080/bitstream/prefix/3786/1/Olhares%20da%20Favela%20-%20vers%c3%a3o%20digital.pdf")</f>
        <v>http://repositorio.ufpel.edu.br:8080/bitstream/prefix/3786/1/Olhares%20da%20Favela%20-%20vers%c3%a3o%20digital.pdf</v>
      </c>
      <c r="I357" s="24" t="str">
        <f>IFERROR(__xludf.DUMMYFUNCTION("""COMPUTED_VALUE"""),"Lingüística Letras e Artes")</f>
        <v>Lingüística Letras e Artes</v>
      </c>
    </row>
    <row r="358">
      <c r="A358" s="24" t="str">
        <f>IFERROR(__xludf.DUMMYFUNCTION("""COMPUTED_VALUE"""),"Olhares: audiovisualidades contemporâneas brasileiras")</f>
        <v>Olhares: audiovisualidades contemporâneas brasileiras</v>
      </c>
      <c r="B358" s="24" t="str">
        <f>IFERROR(__xludf.DUMMYFUNCTION("""COMPUTED_VALUE"""),"Ana Lesnovski; Cristiane Wosniak (org.)")</f>
        <v>Ana Lesnovski; Cristiane Wosniak (org.)</v>
      </c>
      <c r="C358" s="24" t="str">
        <f>IFERROR(__xludf.DUMMYFUNCTION("""COMPUTED_VALUE"""),"Campo Mourão, PR")</f>
        <v>Campo Mourão, PR</v>
      </c>
      <c r="D358" s="24" t="str">
        <f>IFERROR(__xludf.DUMMYFUNCTION("""COMPUTED_VALUE"""),"Editora Fecilcam")</f>
        <v>Editora Fecilcam</v>
      </c>
      <c r="E358" s="25">
        <f>IFERROR(__xludf.DUMMYFUNCTION("""COMPUTED_VALUE"""),2016.0)</f>
        <v>2016</v>
      </c>
      <c r="F358" s="24" t="str">
        <f>IFERROR(__xludf.DUMMYFUNCTION("""COMPUTED_VALUE"""),"Cinema. Arte cinematográfica. Documentário")</f>
        <v>Cinema. Arte cinematográfica. Documentário</v>
      </c>
      <c r="G358" s="28" t="str">
        <f>IFERROR(__xludf.DUMMYFUNCTION("""COMPUTED_VALUE"""),"9788588753426")</f>
        <v>9788588753426</v>
      </c>
      <c r="H358" s="29" t="str">
        <f>IFERROR(__xludf.DUMMYFUNCTION("""COMPUTED_VALUE"""),"http://campomourao.unespar.edu.br/editora/obras-digitais/olhares-audiovisualidades-contemporaneas-brasileiras")</f>
        <v>http://campomourao.unespar.edu.br/editora/obras-digitais/olhares-audiovisualidades-contemporaneas-brasileiras</v>
      </c>
      <c r="I358" s="24" t="str">
        <f>IFERROR(__xludf.DUMMYFUNCTION("""COMPUTED_VALUE"""),"Lingüística Letras e Artes")</f>
        <v>Lingüística Letras e Artes</v>
      </c>
    </row>
    <row r="359">
      <c r="A359" s="24" t="str">
        <f>IFERROR(__xludf.DUMMYFUNCTION("""COMPUTED_VALUE"""),"Orações relativas no português brasileiro: diferentes perspectivas ")</f>
        <v>Orações relativas no português brasileiro: diferentes perspectivas </v>
      </c>
      <c r="B359" s="24" t="str">
        <f>IFERROR(__xludf.DUMMYFUNCTION("""COMPUTED_VALUE"""),"Edvaldo Balduino Bispo e Mariangela Rios de Oliveira (org.)")</f>
        <v>Edvaldo Balduino Bispo e Mariangela Rios de Oliveira (org.)</v>
      </c>
      <c r="C359" s="24" t="str">
        <f>IFERROR(__xludf.DUMMYFUNCTION("""COMPUTED_VALUE"""),"Niterói, RJ")</f>
        <v>Niterói, RJ</v>
      </c>
      <c r="D359" s="24" t="str">
        <f>IFERROR(__xludf.DUMMYFUNCTION("""COMPUTED_VALUE"""),"Editora da UFF")</f>
        <v>Editora da UFF</v>
      </c>
      <c r="E359" s="25">
        <f>IFERROR(__xludf.DUMMYFUNCTION("""COMPUTED_VALUE"""),2014.0)</f>
        <v>2014</v>
      </c>
      <c r="F359" s="24" t="str">
        <f>IFERROR(__xludf.DUMMYFUNCTION("""COMPUTED_VALUE"""),"Linguística. I. Bispo, Edvaldo Balduino")</f>
        <v>Linguística. I. Bispo, Edvaldo Balduino</v>
      </c>
      <c r="G359" s="28" t="str">
        <f>IFERROR(__xludf.DUMMYFUNCTION("""COMPUTED_VALUE"""),"9788522809417")</f>
        <v>9788522809417</v>
      </c>
      <c r="H359" s="29" t="str">
        <f>IFERROR(__xludf.DUMMYFUNCTION("""COMPUTED_VALUE"""),"https://bit.ly/Oracoes-relativas-no-portugues-brasileiro")</f>
        <v>https://bit.ly/Oracoes-relativas-no-portugues-brasileiro</v>
      </c>
      <c r="I359" s="24" t="str">
        <f>IFERROR(__xludf.DUMMYFUNCTION("""COMPUTED_VALUE"""),"Lingüística Letras e Artes")</f>
        <v>Lingüística Letras e Artes</v>
      </c>
    </row>
    <row r="360">
      <c r="A360" s="24" t="str">
        <f>IFERROR(__xludf.DUMMYFUNCTION("""COMPUTED_VALUE"""),"Ore Remity")</f>
        <v>Ore Remity</v>
      </c>
      <c r="B360" s="24" t="str">
        <f>IFERROR(__xludf.DUMMYFUNCTION("""COMPUTED_VALUE"""),"Comitê Editorial Cone Sul Ação Saberes Indígenasỹna Escola.")</f>
        <v>Comitê Editorial Cone Sul Ação Saberes Indígenasỹna Escola.</v>
      </c>
      <c r="C360" s="24" t="str">
        <f>IFERROR(__xludf.DUMMYFUNCTION("""COMPUTED_VALUE"""),"Dourados, MS")</f>
        <v>Dourados, MS</v>
      </c>
      <c r="D360" s="24" t="str">
        <f>IFERROR(__xludf.DUMMYFUNCTION("""COMPUTED_VALUE"""),"Ed. Universidade Federal da Grande Dourados")</f>
        <v>Ed. Universidade Federal da Grande Dourados</v>
      </c>
      <c r="E360" s="25">
        <f>IFERROR(__xludf.DUMMYFUNCTION("""COMPUTED_VALUE"""),2019.0)</f>
        <v>2019</v>
      </c>
      <c r="F360" s="24" t="str">
        <f>IFERROR(__xludf.DUMMYFUNCTION("""COMPUTED_VALUE"""),"Literatura infantojuvenil indígena (Brasil); Índios GuaraniKaiwá – Literatura infantojuvenil; Literatura infantojuvenil brasileira– Escritores indígenas; Índios da América do Sul – Mitos e lendas;Índios Guarani Kaiowá - Usos e costumes")</f>
        <v>Literatura infantojuvenil indígena (Brasil); Índios GuaraniKaiwá – Literatura infantojuvenil; Literatura infantojuvenil brasileira– Escritores indígenas; Índios da América do Sul – Mitos e lendas;Índios Guarani Kaiowá - Usos e costumes</v>
      </c>
      <c r="G360" s="28" t="str">
        <f>IFERROR(__xludf.DUMMYFUNCTION("""COMPUTED_VALUE"""),"9788581471631")</f>
        <v>9788581471631</v>
      </c>
      <c r="H360" s="29" t="str">
        <f>IFERROR(__xludf.DUMMYFUNCTION("""COMPUTED_VALUE"""),"http://omp.ufgd.edu.br/omp/index.php/livrosabertos/catalog/view/252/249/544-1")</f>
        <v>http://omp.ufgd.edu.br/omp/index.php/livrosabertos/catalog/view/252/249/544-1</v>
      </c>
      <c r="I360" s="24" t="str">
        <f>IFERROR(__xludf.DUMMYFUNCTION("""COMPUTED_VALUE"""),"Lingüística Letras e Artes")</f>
        <v>Lingüística Letras e Artes</v>
      </c>
    </row>
    <row r="361">
      <c r="A361" s="24" t="str">
        <f>IFERROR(__xludf.DUMMYFUNCTION("""COMPUTED_VALUE"""),"Os caboclos")</f>
        <v>Os caboclos</v>
      </c>
      <c r="B361" s="24" t="str">
        <f>IFERROR(__xludf.DUMMYFUNCTION("""COMPUTED_VALUE"""),"Os caboclos")</f>
        <v>Os caboclos</v>
      </c>
      <c r="C361" s="24" t="str">
        <f>IFERROR(__xludf.DUMMYFUNCTION("""COMPUTED_VALUE"""),"Rio de Janeiro")</f>
        <v>Rio de Janeiro</v>
      </c>
      <c r="D361" s="24" t="str">
        <f>IFERROR(__xludf.DUMMYFUNCTION("""COMPUTED_VALUE"""),"EdUERJ / Editora Caetés")</f>
        <v>EdUERJ / Editora Caetés</v>
      </c>
      <c r="E361" s="25">
        <f>IFERROR(__xludf.DUMMYFUNCTION("""COMPUTED_VALUE"""),2020.0)</f>
        <v>2020</v>
      </c>
      <c r="F361" s="24" t="str">
        <f>IFERROR(__xludf.DUMMYFUNCTION("""COMPUTED_VALUE"""),"Contos brasileiros; Francisco Vasconcelos; Os Caboclos")</f>
        <v>Contos brasileiros; Francisco Vasconcelos; Os Caboclos</v>
      </c>
      <c r="G361" s="28" t="str">
        <f>IFERROR(__xludf.DUMMYFUNCTION("""COMPUTED_VALUE"""),"9786587949045")</f>
        <v>9786587949045</v>
      </c>
      <c r="H361" s="29" t="str">
        <f>IFERROR(__xludf.DUMMYFUNCTION("""COMPUTED_VALUE"""),"https://www.eduerj.com/eng/?product=os-caboclos")</f>
        <v>https://www.eduerj.com/eng/?product=os-caboclos</v>
      </c>
      <c r="I361" s="24" t="str">
        <f>IFERROR(__xludf.DUMMYFUNCTION("""COMPUTED_VALUE"""),"Lingüística Letras e Artes")</f>
        <v>Lingüística Letras e Artes</v>
      </c>
    </row>
    <row r="362">
      <c r="A362" s="24" t="str">
        <f>IFERROR(__xludf.DUMMYFUNCTION("""COMPUTED_VALUE"""),"Os milagres do cão Jerônimo; Alçapão para gigantes")</f>
        <v>Os milagres do cão Jerônimo; Alçapão para gigantes</v>
      </c>
      <c r="B362" s="24" t="str">
        <f>IFERROR(__xludf.DUMMYFUNCTION("""COMPUTED_VALUE"""),"Prade, Péricles")</f>
        <v>Prade, Péricles</v>
      </c>
      <c r="C362" s="24" t="str">
        <f>IFERROR(__xludf.DUMMYFUNCTION("""COMPUTED_VALUE"""),"Florianópolis")</f>
        <v>Florianópolis</v>
      </c>
      <c r="D362" s="24" t="str">
        <f>IFERROR(__xludf.DUMMYFUNCTION("""COMPUTED_VALUE"""),"Editora da UFSC")</f>
        <v>Editora da UFSC</v>
      </c>
      <c r="E362" s="25">
        <f>IFERROR(__xludf.DUMMYFUNCTION("""COMPUTED_VALUE"""),2018.0)</f>
        <v>2018</v>
      </c>
      <c r="F362" s="24" t="str">
        <f>IFERROR(__xludf.DUMMYFUNCTION("""COMPUTED_VALUE"""),"Literatura;Santa Catarina;Contos")</f>
        <v>Literatura;Santa Catarina;Contos</v>
      </c>
      <c r="G362" s="28" t="str">
        <f>IFERROR(__xludf.DUMMYFUNCTION("""COMPUTED_VALUE"""),"9788532806369")</f>
        <v>9788532806369</v>
      </c>
      <c r="H362" s="29" t="str">
        <f>IFERROR(__xludf.DUMMYFUNCTION("""COMPUTED_VALUE"""),"https://repositorio.ufsc.br/handle/123456789/195873")</f>
        <v>https://repositorio.ufsc.br/handle/123456789/195873</v>
      </c>
      <c r="I362" s="24" t="str">
        <f>IFERROR(__xludf.DUMMYFUNCTION("""COMPUTED_VALUE"""),"Lingüística Letras e Artes")</f>
        <v>Lingüística Letras e Artes</v>
      </c>
    </row>
    <row r="363">
      <c r="A363" s="24" t="str">
        <f>IFERROR(__xludf.DUMMYFUNCTION("""COMPUTED_VALUE"""),"Os olhos da lacraia")</f>
        <v>Os olhos da lacraia</v>
      </c>
      <c r="B363" s="24" t="str">
        <f>IFERROR(__xludf.DUMMYFUNCTION("""COMPUTED_VALUE"""),"Jorge de Souza Araújo")</f>
        <v>Jorge de Souza Araújo</v>
      </c>
      <c r="C363" s="24" t="str">
        <f>IFERROR(__xludf.DUMMYFUNCTION("""COMPUTED_VALUE"""),"Ilhéus, BA")</f>
        <v>Ilhéus, BA</v>
      </c>
      <c r="D363" s="24" t="str">
        <f>IFERROR(__xludf.DUMMYFUNCTION("""COMPUTED_VALUE"""),"Editus")</f>
        <v>Editus</v>
      </c>
      <c r="E363" s="25">
        <f>IFERROR(__xludf.DUMMYFUNCTION("""COMPUTED_VALUE"""),2012.0)</f>
        <v>2012</v>
      </c>
      <c r="F363" s="24" t="str">
        <f>IFERROR(__xludf.DUMMYFUNCTION("""COMPUTED_VALUE"""),"Linguagem; Linguagem e línguas – Discursos,; ensaios, conferências; Semiótica; Poética; Dis-; curso literário")</f>
        <v>Linguagem; Linguagem e línguas – Discursos,; ensaios, conferências; Semiótica; Poética; Dis-; curso literário</v>
      </c>
      <c r="G363" s="28" t="str">
        <f>IFERROR(__xludf.DUMMYFUNCTION("""COMPUTED_VALUE"""),"9788574552767")</f>
        <v>9788574552767</v>
      </c>
      <c r="H363" s="29" t="str">
        <f>IFERROR(__xludf.DUMMYFUNCTION("""COMPUTED_VALUE"""),"http://www.uesc.br/editora/livrosdigitais2016/os_olhos_da_lacraia.pdf")</f>
        <v>http://www.uesc.br/editora/livrosdigitais2016/os_olhos_da_lacraia.pdf</v>
      </c>
      <c r="I363" s="24" t="str">
        <f>IFERROR(__xludf.DUMMYFUNCTION("""COMPUTED_VALUE"""),"Lingüística Letras e Artes")</f>
        <v>Lingüística Letras e Artes</v>
      </c>
    </row>
    <row r="364">
      <c r="A364" s="24" t="str">
        <f>IFERROR(__xludf.DUMMYFUNCTION("""COMPUTED_VALUE"""),"Os Patriotas – Poema Dramático")</f>
        <v>Os Patriotas – Poema Dramático</v>
      </c>
      <c r="B364" s="24" t="str">
        <f>IFERROR(__xludf.DUMMYFUNCTION("""COMPUTED_VALUE"""),"Methodio R. A. Maranhão ")</f>
        <v>Methodio R. A. Maranhão </v>
      </c>
      <c r="C364" s="24" t="str">
        <f>IFERROR(__xludf.DUMMYFUNCTION("""COMPUTED_VALUE"""),"Recife")</f>
        <v>Recife</v>
      </c>
      <c r="D364" s="24" t="str">
        <f>IFERROR(__xludf.DUMMYFUNCTION("""COMPUTED_VALUE"""),"Fundação Joaquim Nabuco / Editora Massangana")</f>
        <v>Fundação Joaquim Nabuco / Editora Massangana</v>
      </c>
      <c r="E364" s="25">
        <f>IFERROR(__xludf.DUMMYFUNCTION("""COMPUTED_VALUE"""),2017.0)</f>
        <v>2017</v>
      </c>
      <c r="F364" s="24" t="str">
        <f>IFERROR(__xludf.DUMMYFUNCTION("""COMPUTED_VALUE"""),"Teatro; Revolução de 181; História")</f>
        <v>Teatro; Revolução de 181; História</v>
      </c>
      <c r="G364" s="28" t="str">
        <f>IFERROR(__xludf.DUMMYFUNCTION("""COMPUTED_VALUE"""),"9788570196651")</f>
        <v>9788570196651</v>
      </c>
      <c r="H364" s="29" t="str">
        <f>IFERROR(__xludf.DUMMYFUNCTION("""COMPUTED_VALUE"""),"https://www.fundaj.gov.br/images/stories/editora/livros/livro_os_patriotas.pdf")</f>
        <v>https://www.fundaj.gov.br/images/stories/editora/livros/livro_os_patriotas.pdf</v>
      </c>
      <c r="I364" s="24" t="str">
        <f>IFERROR(__xludf.DUMMYFUNCTION("""COMPUTED_VALUE"""),"Lingüística Letras e Artes")</f>
        <v>Lingüística Letras e Artes</v>
      </c>
    </row>
    <row r="365">
      <c r="A365" s="24" t="str">
        <f>IFERROR(__xludf.DUMMYFUNCTION("""COMPUTED_VALUE"""),"Palavra de tradutor: reflexões sobre tradução por tradutores brasileiros / The Translator's Word: Reflections on Translation by Brazilian translators")</f>
        <v>Palavra de tradutor: reflexões sobre tradução por tradutores brasileiros / The Translator's Word: Reflections on Translation by Brazilian translators</v>
      </c>
      <c r="B365" s="24" t="str">
        <f>IFERROR(__xludf.DUMMYFUNCTION("""COMPUTED_VALUE"""),"Martins, Marcia A. P.; Guerini, Andréia (org.)")</f>
        <v>Martins, Marcia A. P.; Guerini, Andréia (org.)</v>
      </c>
      <c r="C365" s="24" t="str">
        <f>IFERROR(__xludf.DUMMYFUNCTION("""COMPUTED_VALUE"""),"Florianópolis")</f>
        <v>Florianópolis</v>
      </c>
      <c r="D365" s="24" t="str">
        <f>IFERROR(__xludf.DUMMYFUNCTION("""COMPUTED_VALUE"""),"Editora da UFSC")</f>
        <v>Editora da UFSC</v>
      </c>
      <c r="E365" s="25">
        <f>IFERROR(__xludf.DUMMYFUNCTION("""COMPUTED_VALUE"""),2018.0)</f>
        <v>2018</v>
      </c>
      <c r="F365" s="24" t="str">
        <f>IFERROR(__xludf.DUMMYFUNCTION("""COMPUTED_VALUE"""),"Linguística;Tradução e interpretação - Teoria")</f>
        <v>Linguística;Tradução e interpretação - Teoria</v>
      </c>
      <c r="G365" s="28" t="str">
        <f>IFERROR(__xludf.DUMMYFUNCTION("""COMPUTED_VALUE"""),"9788532808233")</f>
        <v>9788532808233</v>
      </c>
      <c r="H365" s="29" t="str">
        <f>IFERROR(__xludf.DUMMYFUNCTION("""COMPUTED_VALUE"""),"https://repositorio.ufsc.br/handle/123456789/187548")</f>
        <v>https://repositorio.ufsc.br/handle/123456789/187548</v>
      </c>
      <c r="I365" s="24" t="str">
        <f>IFERROR(__xludf.DUMMYFUNCTION("""COMPUTED_VALUE"""),"Lingüística Letras e Artes")</f>
        <v>Lingüística Letras e Artes</v>
      </c>
    </row>
    <row r="366">
      <c r="A366" s="24" t="str">
        <f>IFERROR(__xludf.DUMMYFUNCTION("""COMPUTED_VALUE"""),"Palavras com quem con-verso para desdobrar-me")</f>
        <v>Palavras com quem con-verso para desdobrar-me</v>
      </c>
      <c r="B366" s="24" t="str">
        <f>IFERROR(__xludf.DUMMYFUNCTION("""COMPUTED_VALUE"""),"Selmo Azevedo Apontes")</f>
        <v>Selmo Azevedo Apontes</v>
      </c>
      <c r="C366" s="24" t="str">
        <f>IFERROR(__xludf.DUMMYFUNCTION("""COMPUTED_VALUE"""),"Rio Branco")</f>
        <v>Rio Branco</v>
      </c>
      <c r="D366" s="24" t="str">
        <f>IFERROR(__xludf.DUMMYFUNCTION("""COMPUTED_VALUE"""),"Edufac")</f>
        <v>Edufac</v>
      </c>
      <c r="E366" s="25">
        <f>IFERROR(__xludf.DUMMYFUNCTION("""COMPUTED_VALUE"""),2020.0)</f>
        <v>2020</v>
      </c>
      <c r="F366" s="24" t="str">
        <f>IFERROR(__xludf.DUMMYFUNCTION("""COMPUTED_VALUE"""),"Literatura brasileira; Literatura brasileira - Poesia; Poema")</f>
        <v>Literatura brasileira; Literatura brasileira - Poesia; Poema</v>
      </c>
      <c r="G366" s="28" t="str">
        <f>IFERROR(__xludf.DUMMYFUNCTION("""COMPUTED_VALUE"""),"9788582361146")</f>
        <v>9788582361146</v>
      </c>
      <c r="H366" s="29" t="str">
        <f>IFERROR(__xludf.DUMMYFUNCTION("""COMPUTED_VALUE"""),"http://www2.ufac.br/editora/livros/Palavrascomquemconversoparadesdobrarme.pdf")</f>
        <v>http://www2.ufac.br/editora/livros/Palavrascomquemconversoparadesdobrarme.pdf</v>
      </c>
      <c r="I366" s="24" t="str">
        <f>IFERROR(__xludf.DUMMYFUNCTION("""COMPUTED_VALUE"""),"Lingüística Letras e Artes")</f>
        <v>Lingüística Letras e Artes</v>
      </c>
    </row>
    <row r="367">
      <c r="A367" s="24" t="str">
        <f>IFERROR(__xludf.DUMMYFUNCTION("""COMPUTED_VALUE"""),"Pandemias: cuidados, prevenção, efeitos e consequências sobre a vida humana: dimensões múltiplas de uma temerária e inquietante experiência coletiva: contos")</f>
        <v>Pandemias: cuidados, prevenção, efeitos e consequências sobre a vida humana: dimensões múltiplas de uma temerária e inquietante experiência coletiva: contos</v>
      </c>
      <c r="B367" s="24" t="str">
        <f>IFERROR(__xludf.DUMMYFUNCTION("""COMPUTED_VALUE"""),"Fábio Almeida de Carvalho; Roberto Mibielli; Edgar Borges (org.)")</f>
        <v>Fábio Almeida de Carvalho; Roberto Mibielli; Edgar Borges (org.)</v>
      </c>
      <c r="C367" s="24" t="str">
        <f>IFERROR(__xludf.DUMMYFUNCTION("""COMPUTED_VALUE"""),"Boa Vista ")</f>
        <v>Boa Vista </v>
      </c>
      <c r="D367" s="24" t="str">
        <f>IFERROR(__xludf.DUMMYFUNCTION("""COMPUTED_VALUE"""),"UFRR")</f>
        <v>UFRR</v>
      </c>
      <c r="E367" s="25">
        <f>IFERROR(__xludf.DUMMYFUNCTION("""COMPUTED_VALUE"""),2020.0)</f>
        <v>2020</v>
      </c>
      <c r="F367" s="24" t="str">
        <f>IFERROR(__xludf.DUMMYFUNCTION("""COMPUTED_VALUE"""),"Contos; Literatura; Pandemia; Experiência coletiva")</f>
        <v>Contos; Literatura; Pandemia; Experiência coletiva</v>
      </c>
      <c r="G367" s="28" t="str">
        <f>IFERROR(__xludf.DUMMYFUNCTION("""COMPUTED_VALUE"""),"9786586062557")</f>
        <v>9786586062557</v>
      </c>
      <c r="H367" s="29" t="str">
        <f>IFERROR(__xludf.DUMMYFUNCTION("""COMPUTED_VALUE"""),"http://ufrr.br/editora/index.php/editais?download=452")</f>
        <v>http://ufrr.br/editora/index.php/editais?download=452</v>
      </c>
      <c r="I367" s="24" t="str">
        <f>IFERROR(__xludf.DUMMYFUNCTION("""COMPUTED_VALUE"""),"Lingüística Letras e Artes")</f>
        <v>Lingüística Letras e Artes</v>
      </c>
    </row>
    <row r="368">
      <c r="A368" s="24" t="str">
        <f>IFERROR(__xludf.DUMMYFUNCTION("""COMPUTED_VALUE"""),"Pandemias: cuidados, prevenção, efeitos e consequências sobre a vida humana: dimensões múltiplas de uma temerária e inquietante experiência coletiva: poesias, minicontos, crônicas")</f>
        <v>Pandemias: cuidados, prevenção, efeitos e consequências sobre a vida humana: dimensões múltiplas de uma temerária e inquietante experiência coletiva: poesias, minicontos, crônicas</v>
      </c>
      <c r="B368" s="24" t="str">
        <f>IFERROR(__xludf.DUMMYFUNCTION("""COMPUTED_VALUE"""),"Fábio Almeida de Carvalho; Roberto Mibielli; Edgar Borges (org.)")</f>
        <v>Fábio Almeida de Carvalho; Roberto Mibielli; Edgar Borges (org.)</v>
      </c>
      <c r="C368" s="24" t="str">
        <f>IFERROR(__xludf.DUMMYFUNCTION("""COMPUTED_VALUE"""),"Boa Vista ")</f>
        <v>Boa Vista </v>
      </c>
      <c r="D368" s="24" t="str">
        <f>IFERROR(__xludf.DUMMYFUNCTION("""COMPUTED_VALUE"""),"UFRR")</f>
        <v>UFRR</v>
      </c>
      <c r="E368" s="25">
        <f>IFERROR(__xludf.DUMMYFUNCTION("""COMPUTED_VALUE"""),2020.0)</f>
        <v>2020</v>
      </c>
      <c r="F368" s="24" t="str">
        <f>IFERROR(__xludf.DUMMYFUNCTION("""COMPUTED_VALUE"""),"Pandemias; Contos; Minicontos; Crônicas")</f>
        <v>Pandemias; Contos; Minicontos; Crônicas</v>
      </c>
      <c r="G368" s="28" t="str">
        <f>IFERROR(__xludf.DUMMYFUNCTION("""COMPUTED_VALUE"""),"9786586062526")</f>
        <v>9786586062526</v>
      </c>
      <c r="H368" s="29" t="str">
        <f>IFERROR(__xludf.DUMMYFUNCTION("""COMPUTED_VALUE"""),"http://ufrr.br/editora/index.php/editais?download=451")</f>
        <v>http://ufrr.br/editora/index.php/editais?download=451</v>
      </c>
      <c r="I368" s="24" t="str">
        <f>IFERROR(__xludf.DUMMYFUNCTION("""COMPUTED_VALUE"""),"Lingüística Letras e Artes")</f>
        <v>Lingüística Letras e Artes</v>
      </c>
    </row>
    <row r="369">
      <c r="A369" s="24" t="str">
        <f>IFERROR(__xludf.DUMMYFUNCTION("""COMPUTED_VALUE"""),"Paradakary urudnaa: Dicionário Wapichana/Português Português/Wapichana")</f>
        <v>Paradakary urudnaa: Dicionário Wapichana/Português Português/Wapichana</v>
      </c>
      <c r="B369" s="24" t="str">
        <f>IFERROR(__xludf.DUMMYFUNCTION("""COMPUTED_VALUE"""),"Organizadores; Bazilio da Silva; Nilzimara de Souza Silva; Odamir de Oliveira")</f>
        <v>Organizadores; Bazilio da Silva; Nilzimara de Souza Silva; Odamir de Oliveira</v>
      </c>
      <c r="C369" s="24" t="str">
        <f>IFERROR(__xludf.DUMMYFUNCTION("""COMPUTED_VALUE"""),"Boa Vista ")</f>
        <v>Boa Vista </v>
      </c>
      <c r="D369" s="24" t="str">
        <f>IFERROR(__xludf.DUMMYFUNCTION("""COMPUTED_VALUE"""),"UFRR")</f>
        <v>UFRR</v>
      </c>
      <c r="E369" s="25">
        <f>IFERROR(__xludf.DUMMYFUNCTION("""COMPUTED_VALUE"""),2013.0)</f>
        <v>2013</v>
      </c>
      <c r="F369" s="24" t="str">
        <f>IFERROR(__xludf.DUMMYFUNCTION("""COMPUTED_VALUE"""),"Antropologia; Indígenas Wapichana; Língua Wapichana; Dicionários")</f>
        <v>Antropologia; Indígenas Wapichana; Língua Wapichana; Dicionários</v>
      </c>
      <c r="G369" s="28" t="str">
        <f>IFERROR(__xludf.DUMMYFUNCTION("""COMPUTED_VALUE"""),"9788582881118")</f>
        <v>9788582881118</v>
      </c>
      <c r="H369" s="29" t="str">
        <f>IFERROR(__xludf.DUMMYFUNCTION("""COMPUTED_VALUE"""),"http://ufrr.br/editora/index.php/editais/category/40-editais?download=394:dicionariowapichana-ebook")</f>
        <v>http://ufrr.br/editora/index.php/editais/category/40-editais?download=394:dicionariowapichana-ebook</v>
      </c>
      <c r="I369" s="24" t="str">
        <f>IFERROR(__xludf.DUMMYFUNCTION("""COMPUTED_VALUE"""),"Lingüística Letras e Artes")</f>
        <v>Lingüística Letras e Artes</v>
      </c>
    </row>
    <row r="370">
      <c r="A370" s="24" t="str">
        <f>IFERROR(__xludf.DUMMYFUNCTION("""COMPUTED_VALUE"""),"Partilhar o saber: formar o leitor: conversas entre a escrita, a história, narrativas e leituras, na perspectiva da cultura")</f>
        <v>Partilhar o saber: formar o leitor: conversas entre a escrita, a história, narrativas e leituras, na perspectiva da cultura</v>
      </c>
      <c r="B370" s="24" t="str">
        <f>IFERROR(__xludf.DUMMYFUNCTION("""COMPUTED_VALUE"""),"Valéria Pereira; Nilton Ponciano")</f>
        <v>Valéria Pereira; Nilton Ponciano</v>
      </c>
      <c r="C370" s="24" t="str">
        <f>IFERROR(__xludf.DUMMYFUNCTION("""COMPUTED_VALUE"""),"Dourados, MS")</f>
        <v>Dourados, MS</v>
      </c>
      <c r="D370" s="24" t="str">
        <f>IFERROR(__xludf.DUMMYFUNCTION("""COMPUTED_VALUE"""),"Ed. UFGD")</f>
        <v>Ed. UFGD</v>
      </c>
      <c r="E370" s="25">
        <f>IFERROR(__xludf.DUMMYFUNCTION("""COMPUTED_VALUE"""),2012.0)</f>
        <v>2012</v>
      </c>
      <c r="F370" s="24" t="str">
        <f>IFERROR(__xludf.DUMMYFUNCTION("""COMPUTED_VALUE"""),"Leitura – Crítica; Formação de leitores")</f>
        <v>Leitura – Crítica; Formação de leitores</v>
      </c>
      <c r="G370" s="28" t="str">
        <f>IFERROR(__xludf.DUMMYFUNCTION("""COMPUTED_VALUE"""),"9788581470177")</f>
        <v>9788581470177</v>
      </c>
      <c r="H370" s="29" t="str">
        <f>IFERROR(__xludf.DUMMYFUNCTION("""COMPUTED_VALUE"""),"http://omp.ufgd.edu.br/omp/index.php/livrosabertos/catalog/view/164/181/462-1")</f>
        <v>http://omp.ufgd.edu.br/omp/index.php/livrosabertos/catalog/view/164/181/462-1</v>
      </c>
      <c r="I370" s="24" t="str">
        <f>IFERROR(__xludf.DUMMYFUNCTION("""COMPUTED_VALUE"""),"Lingüística Letras e Artes")</f>
        <v>Lingüística Letras e Artes</v>
      </c>
    </row>
    <row r="371">
      <c r="A371" s="24" t="str">
        <f>IFERROR(__xludf.DUMMYFUNCTION("""COMPUTED_VALUE"""),"Paulicéia scugliambada, Paulicéia desvairada: Juó Bananére e a imagem do italiano na literatura brasileira")</f>
        <v>Paulicéia scugliambada, Paulicéia desvairada: Juó Bananére e a imagem do italiano na literatura brasileira</v>
      </c>
      <c r="B371" s="24" t="str">
        <f>IFERROR(__xludf.DUMMYFUNCTION("""COMPUTED_VALUE"""),"Maurício Martins do Carmo")</f>
        <v>Maurício Martins do Carmo</v>
      </c>
      <c r="C371" s="24" t="str">
        <f>IFERROR(__xludf.DUMMYFUNCTION("""COMPUTED_VALUE"""),"Niterói, RJ")</f>
        <v>Niterói, RJ</v>
      </c>
      <c r="D371" s="24" t="str">
        <f>IFERROR(__xludf.DUMMYFUNCTION("""COMPUTED_VALUE"""),"EDUFF")</f>
        <v>EDUFF</v>
      </c>
      <c r="E371" s="25">
        <f>IFERROR(__xludf.DUMMYFUNCTION("""COMPUTED_VALUE"""),1997.0)</f>
        <v>1997</v>
      </c>
      <c r="F371" s="24" t="str">
        <f>IFERROR(__xludf.DUMMYFUNCTION("""COMPUTED_VALUE"""),"Bananére, Juó, 1892-1933 - Crítica e interpretação; Literatura; brasileira - Influências italianas; Italianos - São Paulo (SP) - História")</f>
        <v>Bananére, Juó, 1892-1933 - Crítica e interpretação; Literatura; brasileira - Influências italianas; Italianos - São Paulo (SP) - História</v>
      </c>
      <c r="G371" s="28" t="str">
        <f>IFERROR(__xludf.DUMMYFUNCTION("""COMPUTED_VALUE"""),"8522802424")</f>
        <v>8522802424</v>
      </c>
      <c r="H371" s="29" t="str">
        <f>IFERROR(__xludf.DUMMYFUNCTION("""COMPUTED_VALUE"""),"http://www.eduff.uff.br/ebooks/Pauliceia-scugliambada-pauliceia-desvairada.pdf")</f>
        <v>http://www.eduff.uff.br/ebooks/Pauliceia-scugliambada-pauliceia-desvairada.pdf</v>
      </c>
      <c r="I371" s="24" t="str">
        <f>IFERROR(__xludf.DUMMYFUNCTION("""COMPUTED_VALUE"""),"Lingüística Letras e Artes")</f>
        <v>Lingüística Letras e Artes</v>
      </c>
    </row>
    <row r="372">
      <c r="A372" s="24" t="str">
        <f>IFERROR(__xludf.DUMMYFUNCTION("""COMPUTED_VALUE"""),"Pegadas na praia: a obra de Anchieta em suas relações intertextuais")</f>
        <v>Pegadas na praia: a obra de Anchieta em suas relações intertextuais</v>
      </c>
      <c r="B372" s="24" t="str">
        <f>IFERROR(__xludf.DUMMYFUNCTION("""COMPUTED_VALUE"""),"Jorge de Souza Araújo")</f>
        <v>Jorge de Souza Araújo</v>
      </c>
      <c r="C372" s="24" t="str">
        <f>IFERROR(__xludf.DUMMYFUNCTION("""COMPUTED_VALUE"""),"Ilhéus, BA")</f>
        <v>Ilhéus, BA</v>
      </c>
      <c r="D372" s="24" t="str">
        <f>IFERROR(__xludf.DUMMYFUNCTION("""COMPUTED_VALUE"""),"Editus")</f>
        <v>Editus</v>
      </c>
      <c r="E372" s="25">
        <f>IFERROR(__xludf.DUMMYFUNCTION("""COMPUTED_VALUE"""),2003.0)</f>
        <v>2003</v>
      </c>
      <c r="F372" s="24" t="str">
        <f>IFERROR(__xludf.DUMMYFUNCTION("""COMPUTED_VALUE"""),"Literatura – História e crítica; Inter-textualidade; Anchieta, José de, Padre S.I.,1534-1597")</f>
        <v>Literatura – História e crítica; Inter-textualidade; Anchieta, José de, Padre S.I.,1534-1597</v>
      </c>
      <c r="G372" s="28" t="str">
        <f>IFERROR(__xludf.DUMMYFUNCTION("""COMPUTED_VALUE"""),"8574550558")</f>
        <v>8574550558</v>
      </c>
      <c r="H372" s="29" t="str">
        <f>IFERROR(__xludf.DUMMYFUNCTION("""COMPUTED_VALUE"""),"http://www.uesc.br/editora/livrosdigitais2016/pegadas_na_praia.pdf")</f>
        <v>http://www.uesc.br/editora/livrosdigitais2016/pegadas_na_praia.pdf</v>
      </c>
      <c r="I372" s="24" t="str">
        <f>IFERROR(__xludf.DUMMYFUNCTION("""COMPUTED_VALUE"""),"Lingüística Letras e Artes")</f>
        <v>Lingüística Letras e Artes</v>
      </c>
    </row>
    <row r="373">
      <c r="A373" s="24" t="str">
        <f>IFERROR(__xludf.DUMMYFUNCTION("""COMPUTED_VALUE"""),"Pelas águas mestiças da história – uma leitura de O outro pé da sereia de Mia Couto ")</f>
        <v>Pelas águas mestiças da história – uma leitura de O outro pé da sereia de Mia Couto </v>
      </c>
      <c r="B373" s="24" t="str">
        <f>IFERROR(__xludf.DUMMYFUNCTION("""COMPUTED_VALUE"""),"Luana Antunes Costa")</f>
        <v>Luana Antunes Costa</v>
      </c>
      <c r="C373" s="24" t="str">
        <f>IFERROR(__xludf.DUMMYFUNCTION("""COMPUTED_VALUE"""),"Niterói, RJ")</f>
        <v>Niterói, RJ</v>
      </c>
      <c r="D373" s="24" t="str">
        <f>IFERROR(__xludf.DUMMYFUNCTION("""COMPUTED_VALUE"""),"EDUFF")</f>
        <v>EDUFF</v>
      </c>
      <c r="E373" s="25">
        <f>IFERROR(__xludf.DUMMYFUNCTION("""COMPUTED_VALUE"""),2010.0)</f>
        <v>2010</v>
      </c>
      <c r="F373" s="24" t="str">
        <f>IFERROR(__xludf.DUMMYFUNCTION("""COMPUTED_VALUE"""),"Literatura; Ensaio ")</f>
        <v>Literatura; Ensaio </v>
      </c>
      <c r="G373" s="28" t="str">
        <f>IFERROR(__xludf.DUMMYFUNCTION("""COMPUTED_VALUE"""),"9788522805327")</f>
        <v>9788522805327</v>
      </c>
      <c r="H373" s="29" t="str">
        <f>IFERROR(__xludf.DUMMYFUNCTION("""COMPUTED_VALUE"""),"http://bit.ly/Pelas-aguas-mesticas-da-historia")</f>
        <v>http://bit.ly/Pelas-aguas-mesticas-da-historia</v>
      </c>
      <c r="I373" s="24" t="str">
        <f>IFERROR(__xludf.DUMMYFUNCTION("""COMPUTED_VALUE"""),"Lingüística Letras e Artes")</f>
        <v>Lingüística Letras e Artes</v>
      </c>
    </row>
    <row r="374">
      <c r="A374" s="24" t="str">
        <f>IFERROR(__xludf.DUMMYFUNCTION("""COMPUTED_VALUE"""),"Pelo Sertão, o Brasil")</f>
        <v>Pelo Sertão, o Brasil</v>
      </c>
      <c r="B374" s="24" t="str">
        <f>IFERROR(__xludf.DUMMYFUNCTION("""COMPUTED_VALUE"""),"Marcos Paulo Torres Pereira e Marcelo Lachat (org.)")</f>
        <v>Marcos Paulo Torres Pereira e Marcelo Lachat (org.)</v>
      </c>
      <c r="C374" s="24" t="str">
        <f>IFERROR(__xludf.DUMMYFUNCTION("""COMPUTED_VALUE"""),"Macapá")</f>
        <v>Macapá</v>
      </c>
      <c r="D374" s="24" t="str">
        <f>IFERROR(__xludf.DUMMYFUNCTION("""COMPUTED_VALUE"""),"UNIFAP")</f>
        <v>UNIFAP</v>
      </c>
      <c r="E374" s="25">
        <f>IFERROR(__xludf.DUMMYFUNCTION("""COMPUTED_VALUE"""),2016.0)</f>
        <v>2016</v>
      </c>
      <c r="F374" s="24" t="str">
        <f>IFERROR(__xludf.DUMMYFUNCTION("""COMPUTED_VALUE"""),"Literatura; Literatura brasileira; Estudos sociológicos; Nordeste")</f>
        <v>Literatura; Literatura brasileira; Estudos sociológicos; Nordeste</v>
      </c>
      <c r="G374" s="28" t="str">
        <f>IFERROR(__xludf.DUMMYFUNCTION("""COMPUTED_VALUE"""),"9788562359385")</f>
        <v>9788562359385</v>
      </c>
      <c r="H374" s="29" t="str">
        <f>IFERROR(__xludf.DUMMYFUNCTION("""COMPUTED_VALUE"""),"https://www2.unifap.br/editora/files/2014/12/Pelo-Sert%c3%a3o-o-Brasil.pdf")</f>
        <v>https://www2.unifap.br/editora/files/2014/12/Pelo-Sert%c3%a3o-o-Brasil.pdf</v>
      </c>
      <c r="I374" s="24" t="str">
        <f>IFERROR(__xludf.DUMMYFUNCTION("""COMPUTED_VALUE"""),"Lingüística Letras e Artes")</f>
        <v>Lingüística Letras e Artes</v>
      </c>
    </row>
    <row r="375">
      <c r="A375" s="24" t="str">
        <f>IFERROR(__xludf.DUMMYFUNCTION("""COMPUTED_VALUE"""),"Pelos caminhos de Portugal")</f>
        <v>Pelos caminhos de Portugal</v>
      </c>
      <c r="B375" s="24" t="str">
        <f>IFERROR(__xludf.DUMMYFUNCTION("""COMPUTED_VALUE"""),"Rabelo, Giani; Lisboa, Carla Mirelle de Oliveira Matos; Gomes, Karina de Fátima; Cabó, Leonardo José Freire; Neves, Liliane de Oliveira")</f>
        <v>Rabelo, Giani; Lisboa, Carla Mirelle de Oliveira Matos; Gomes, Karina de Fátima; Cabó, Leonardo José Freire; Neves, Liliane de Oliveira</v>
      </c>
      <c r="C375" s="24" t="str">
        <f>IFERROR(__xludf.DUMMYFUNCTION("""COMPUTED_VALUE"""),"Criciúma")</f>
        <v>Criciúma</v>
      </c>
      <c r="D375" s="24" t="str">
        <f>IFERROR(__xludf.DUMMYFUNCTION("""COMPUTED_VALUE"""),"UNESC")</f>
        <v>UNESC</v>
      </c>
      <c r="E375" s="25">
        <f>IFERROR(__xludf.DUMMYFUNCTION("""COMPUTED_VALUE"""),2019.0)</f>
        <v>2019</v>
      </c>
      <c r="F375" s="24" t="str">
        <f>IFERROR(__xludf.DUMMYFUNCTION("""COMPUTED_VALUE"""),"Pesquisadores – Crônicas; Pesquisadores – Narrativas pessoais; Crônicas brasileiras")</f>
        <v>Pesquisadores – Crônicas; Pesquisadores – Narrativas pessoais; Crônicas brasileiras</v>
      </c>
      <c r="G375" s="28" t="str">
        <f>IFERROR(__xludf.DUMMYFUNCTION("""COMPUTED_VALUE"""),"9788584101009")</f>
        <v>9788584101009</v>
      </c>
      <c r="H375" s="29" t="str">
        <f>IFERROR(__xludf.DUMMYFUNCTION("""COMPUTED_VALUE"""),"http://dx.doi.org/10.18616/portugal")</f>
        <v>http://dx.doi.org/10.18616/portugal</v>
      </c>
      <c r="I375" s="24" t="str">
        <f>IFERROR(__xludf.DUMMYFUNCTION("""COMPUTED_VALUE"""),"Lingüística Letras e Artes")</f>
        <v>Lingüística Letras e Artes</v>
      </c>
    </row>
    <row r="376">
      <c r="A376" s="24" t="str">
        <f>IFERROR(__xludf.DUMMYFUNCTION("""COMPUTED_VALUE"""),"Pense melhor antes de pensar (II Prêmio UFES de Literatura)")</f>
        <v>Pense melhor antes de pensar (II Prêmio UFES de Literatura)</v>
      </c>
      <c r="B376" s="24" t="str">
        <f>IFERROR(__xludf.DUMMYFUNCTION("""COMPUTED_VALUE"""),"Renata Dembogurski")</f>
        <v>Renata Dembogurski</v>
      </c>
      <c r="C376" s="24" t="str">
        <f>IFERROR(__xludf.DUMMYFUNCTION("""COMPUTED_VALUE"""),"Vitória")</f>
        <v>Vitória</v>
      </c>
      <c r="D376" s="24" t="str">
        <f>IFERROR(__xludf.DUMMYFUNCTION("""COMPUTED_VALUE"""),"EDUFES")</f>
        <v>EDUFES</v>
      </c>
      <c r="E376" s="25">
        <f>IFERROR(__xludf.DUMMYFUNCTION("""COMPUTED_VALUE"""),2015.0)</f>
        <v>2015</v>
      </c>
      <c r="F376" s="24" t="str">
        <f>IFERROR(__xludf.DUMMYFUNCTION("""COMPUTED_VALUE"""),"Literatura infanto-juvenil brasileira; Literatura; Literatura infanto-juvenil ")</f>
        <v>Literatura infanto-juvenil brasileira; Literatura; Literatura infanto-juvenil </v>
      </c>
      <c r="G376" s="28" t="str">
        <f>IFERROR(__xludf.DUMMYFUNCTION("""COMPUTED_VALUE"""),"9788577722952")</f>
        <v>9788577722952</v>
      </c>
      <c r="H376" s="29" t="str">
        <f>IFERROR(__xludf.DUMMYFUNCTION("""COMPUTED_VALUE"""),"http://repositorio.ufes.br/bitstream/10/1506/1/Pense%20melhor%20antes%20de%20pensar.pdf")</f>
        <v>http://repositorio.ufes.br/bitstream/10/1506/1/Pense%20melhor%20antes%20de%20pensar.pdf</v>
      </c>
      <c r="I376" s="24" t="str">
        <f>IFERROR(__xludf.DUMMYFUNCTION("""COMPUTED_VALUE"""),"Lingüística Letras e Artes")</f>
        <v>Lingüística Letras e Artes</v>
      </c>
    </row>
    <row r="377">
      <c r="A377" s="24" t="str">
        <f>IFERROR(__xludf.DUMMYFUNCTION("""COMPUTED_VALUE"""),"Percursos em teoria da gramática")</f>
        <v>Percursos em teoria da gramática</v>
      </c>
      <c r="B377" s="24" t="str">
        <f>IFERROR(__xludf.DUMMYFUNCTION("""COMPUTED_VALUE"""),"Oliveira, Roberta Pires de; Mioto, Carlos (org.)")</f>
        <v>Oliveira, Roberta Pires de; Mioto, Carlos (org.)</v>
      </c>
      <c r="C377" s="24" t="str">
        <f>IFERROR(__xludf.DUMMYFUNCTION("""COMPUTED_VALUE"""),"Florianópolis")</f>
        <v>Florianópolis</v>
      </c>
      <c r="D377" s="24" t="str">
        <f>IFERROR(__xludf.DUMMYFUNCTION("""COMPUTED_VALUE"""),"Editora da UFSC")</f>
        <v>Editora da UFSC</v>
      </c>
      <c r="E377" s="25">
        <f>IFERROR(__xludf.DUMMYFUNCTION("""COMPUTED_VALUE"""),2011.0)</f>
        <v>2011</v>
      </c>
      <c r="F377" s="24" t="str">
        <f>IFERROR(__xludf.DUMMYFUNCTION("""COMPUTED_VALUE"""),"Linguística;Língua Portuguesa - Brasil;Gramática")</f>
        <v>Linguística;Língua Portuguesa - Brasil;Gramática</v>
      </c>
      <c r="G377" s="28" t="str">
        <f>IFERROR(__xludf.DUMMYFUNCTION("""COMPUTED_VALUE"""),"9788532805652")</f>
        <v>9788532805652</v>
      </c>
      <c r="H377" s="29" t="str">
        <f>IFERROR(__xludf.DUMMYFUNCTION("""COMPUTED_VALUE"""),"https://repositorio.ufsc.br/handle/123456789/187924")</f>
        <v>https://repositorio.ufsc.br/handle/123456789/187924</v>
      </c>
      <c r="I377" s="24" t="str">
        <f>IFERROR(__xludf.DUMMYFUNCTION("""COMPUTED_VALUE"""),"Lingüística Letras e Artes")</f>
        <v>Lingüística Letras e Artes</v>
      </c>
    </row>
    <row r="378">
      <c r="A378" s="24" t="str">
        <f>IFERROR(__xludf.DUMMYFUNCTION("""COMPUTED_VALUE"""),"Peregrinação de Egéria: uma narrativa de viagem aos Lugares Santos")</f>
        <v>Peregrinação de Egéria: uma narrativa de viagem aos Lugares Santos</v>
      </c>
      <c r="B378" s="24" t="str">
        <f>IFERROR(__xludf.DUMMYFUNCTION("""COMPUTED_VALUE"""),"Martins, Maria Cristina")</f>
        <v>Martins, Maria Cristina</v>
      </c>
      <c r="C378" s="24" t="str">
        <f>IFERROR(__xludf.DUMMYFUNCTION("""COMPUTED_VALUE"""),"Uberlândia")</f>
        <v>Uberlândia</v>
      </c>
      <c r="D378" s="24" t="str">
        <f>IFERROR(__xludf.DUMMYFUNCTION("""COMPUTED_VALUE"""),"EDUFU")</f>
        <v>EDUFU</v>
      </c>
      <c r="E378" s="25">
        <f>IFERROR(__xludf.DUMMYFUNCTION("""COMPUTED_VALUE"""),2017.0)</f>
        <v>2017</v>
      </c>
      <c r="F378" s="24" t="str">
        <f>IFERROR(__xludf.DUMMYFUNCTION("""COMPUTED_VALUE"""),"Língua latina; Língua latina-Latim vulgar; Filosofia românica; Línguas românicas.I.Título")</f>
        <v>Língua latina; Língua latina-Latim vulgar; Filosofia românica; Línguas românicas.I.Título</v>
      </c>
      <c r="G378" s="28" t="str">
        <f>IFERROR(__xludf.DUMMYFUNCTION("""COMPUTED_VALUE"""),"9788570784278")</f>
        <v>9788570784278</v>
      </c>
      <c r="H378" s="29" t="str">
        <f>IFERROR(__xludf.DUMMYFUNCTION("""COMPUTED_VALUE"""),"http://www.edufu.ufu.br/sites/edufu.ufu.br/files/e-book_egeria_2017_0.pdf")</f>
        <v>http://www.edufu.ufu.br/sites/edufu.ufu.br/files/e-book_egeria_2017_0.pdf</v>
      </c>
      <c r="I378" s="24" t="str">
        <f>IFERROR(__xludf.DUMMYFUNCTION("""COMPUTED_VALUE"""),"Lingüística Letras e Artes")</f>
        <v>Lingüística Letras e Artes</v>
      </c>
    </row>
    <row r="379">
      <c r="A379" s="24" t="str">
        <f>IFERROR(__xludf.DUMMYFUNCTION("""COMPUTED_VALUE"""),"Personagens e Universos Narrativos em Adaptações e Narrativas Transmídia: Análise de A Dança dos Dragões e produtos derivados")</f>
        <v>Personagens e Universos Narrativos em Adaptações e Narrativas Transmídia: Análise de A Dança dos Dragões e produtos derivados</v>
      </c>
      <c r="B379" s="24" t="str">
        <f>IFERROR(__xludf.DUMMYFUNCTION("""COMPUTED_VALUE"""),"Aline Monteiro Xavier Homssi Borges")</f>
        <v>Aline Monteiro Xavier Homssi Borges</v>
      </c>
      <c r="C379" s="24" t="str">
        <f>IFERROR(__xludf.DUMMYFUNCTION("""COMPUTED_VALUE"""),"Ouro Preto")</f>
        <v>Ouro Preto</v>
      </c>
      <c r="D379" s="24" t="str">
        <f>IFERROR(__xludf.DUMMYFUNCTION("""COMPUTED_VALUE"""),"UFOP")</f>
        <v>UFOP</v>
      </c>
      <c r="E379" s="25">
        <f>IFERROR(__xludf.DUMMYFUNCTION("""COMPUTED_VALUE"""),2019.0)</f>
        <v>2019</v>
      </c>
      <c r="F379" s="24" t="str">
        <f>IFERROR(__xludf.DUMMYFUNCTION("""COMPUTED_VALUE"""),"Narrativa (Retórica). Narrativas digitais. Comunicação. Entretenimento. Literatura")</f>
        <v>Narrativa (Retórica). Narrativas digitais. Comunicação. Entretenimento. Literatura</v>
      </c>
      <c r="G379" s="28" t="str">
        <f>IFERROR(__xludf.DUMMYFUNCTION("""COMPUTED_VALUE"""),"9788528803723")</f>
        <v>9788528803723</v>
      </c>
      <c r="H379" s="29" t="str">
        <f>IFERROR(__xludf.DUMMYFUNCTION("""COMPUTED_VALUE"""),"https://www.editora.ufop.br/index.php/editora/catalog/view/162/130/428-1")</f>
        <v>https://www.editora.ufop.br/index.php/editora/catalog/view/162/130/428-1</v>
      </c>
      <c r="I379" s="24" t="str">
        <f>IFERROR(__xludf.DUMMYFUNCTION("""COMPUTED_VALUE"""),"Lingüística Letras e Artes")</f>
        <v>Lingüística Letras e Artes</v>
      </c>
    </row>
    <row r="380">
      <c r="A380" s="24" t="str">
        <f>IFERROR(__xludf.DUMMYFUNCTION("""COMPUTED_VALUE"""),"Personagens travestis em narrativas brasileiras do século XX: uma leitura sobre corpo e resistência (disponível temporariamente)")</f>
        <v>Personagens travestis em narrativas brasileiras do século XX: uma leitura sobre corpo e resistência (disponível temporariamente)</v>
      </c>
      <c r="B380" s="24" t="str">
        <f>IFERROR(__xludf.DUMMYFUNCTION("""COMPUTED_VALUE"""),"Carlos Eduardo Albuquerque Fernandes, Liane Schneider.")</f>
        <v>Carlos Eduardo Albuquerque Fernandes, Liane Schneider.</v>
      </c>
      <c r="C380" s="24" t="str">
        <f>IFERROR(__xludf.DUMMYFUNCTION("""COMPUTED_VALUE"""),"João Pessoa")</f>
        <v>João Pessoa</v>
      </c>
      <c r="D380" s="24" t="str">
        <f>IFERROR(__xludf.DUMMYFUNCTION("""COMPUTED_VALUE"""),"Editora da UFPB")</f>
        <v>Editora da UFPB</v>
      </c>
      <c r="E380" s="25">
        <f>IFERROR(__xludf.DUMMYFUNCTION("""COMPUTED_VALUE"""),2017.0)</f>
        <v>2017</v>
      </c>
      <c r="F380" s="24" t="str">
        <f>IFERROR(__xludf.DUMMYFUNCTION("""COMPUTED_VALUE"""),"Travestis; Homossexuais; Homossexualismo; Corpo; Resistência")</f>
        <v>Travestis; Homossexuais; Homossexualismo; Corpo; Resistência</v>
      </c>
      <c r="G380" s="28" t="str">
        <f>IFERROR(__xludf.DUMMYFUNCTION("""COMPUTED_VALUE"""),"9788523711993")</f>
        <v>9788523711993</v>
      </c>
      <c r="H380" s="29" t="str">
        <f>IFERROR(__xludf.DUMMYFUNCTION("""COMPUTED_VALUE"""),"http://www.editora.ufpb.br/sistema/press5/index.php/UFPB/catalog/book/489")</f>
        <v>http://www.editora.ufpb.br/sistema/press5/index.php/UFPB/catalog/book/489</v>
      </c>
      <c r="I380" s="24" t="str">
        <f>IFERROR(__xludf.DUMMYFUNCTION("""COMPUTED_VALUE"""),"Lingüística Letras e Artes")</f>
        <v>Lingüística Letras e Artes</v>
      </c>
    </row>
    <row r="381">
      <c r="A381" s="24" t="str">
        <f>IFERROR(__xludf.DUMMYFUNCTION("""COMPUTED_VALUE"""),"Perspectivas literarias pós-coloniais ")</f>
        <v>Perspectivas literarias pós-coloniais </v>
      </c>
      <c r="B381" s="24" t="str">
        <f>IFERROR(__xludf.DUMMYFUNCTION("""COMPUTED_VALUE"""),"Tatiana da Silva Capaverde; Luiz Eduardo Rodrigues Amaro; Mara Genecy Centeno Nogueira (org.); ")</f>
        <v>Tatiana da Silva Capaverde; Luiz Eduardo Rodrigues Amaro; Mara Genecy Centeno Nogueira (org.); </v>
      </c>
      <c r="C381" s="24" t="str">
        <f>IFERROR(__xludf.DUMMYFUNCTION("""COMPUTED_VALUE"""),"Boa Vista ")</f>
        <v>Boa Vista </v>
      </c>
      <c r="D381" s="24" t="str">
        <f>IFERROR(__xludf.DUMMYFUNCTION("""COMPUTED_VALUE"""),"UFRR")</f>
        <v>UFRR</v>
      </c>
      <c r="E381" s="25">
        <f>IFERROR(__xludf.DUMMYFUNCTION("""COMPUTED_VALUE"""),2020.0)</f>
        <v>2020</v>
      </c>
      <c r="F381" s="24" t="str">
        <f>IFERROR(__xludf.DUMMYFUNCTION("""COMPUTED_VALUE"""),"Literatura pós-colonialismo;Identidades; Memórias")</f>
        <v>Literatura pós-colonialismo;Identidades; Memórias</v>
      </c>
      <c r="G381" s="28" t="str">
        <f>IFERROR(__xludf.DUMMYFUNCTION("""COMPUTED_VALUE"""),"9786586062502")</f>
        <v>9786586062502</v>
      </c>
      <c r="H381" s="29" t="str">
        <f>IFERROR(__xludf.DUMMYFUNCTION("""COMPUTED_VALUE"""),"http://ufrr.br/editora/index.php/editais?download=449")</f>
        <v>http://ufrr.br/editora/index.php/editais?download=449</v>
      </c>
      <c r="I381" s="24" t="str">
        <f>IFERROR(__xludf.DUMMYFUNCTION("""COMPUTED_VALUE"""),"Lingüística Letras e Artes")</f>
        <v>Lingüística Letras e Artes</v>
      </c>
    </row>
    <row r="382">
      <c r="A382" s="24" t="str">
        <f>IFERROR(__xludf.DUMMYFUNCTION("""COMPUTED_VALUE"""),"Perspectivas para o ensino de línguas, vol. 1")</f>
        <v>Perspectivas para o ensino de línguas, vol. 1</v>
      </c>
      <c r="B382" s="24" t="str">
        <f>IFERROR(__xludf.DUMMYFUNCTION("""COMPUTED_VALUE"""),"Organizadores; Alexandre Melo de Sousa; Rosane Garcia; Tatiane Castro dos Santos")</f>
        <v>Organizadores; Alexandre Melo de Sousa; Rosane Garcia; Tatiane Castro dos Santos</v>
      </c>
      <c r="C382" s="24" t="str">
        <f>IFERROR(__xludf.DUMMYFUNCTION("""COMPUTED_VALUE"""),"Rio Branco")</f>
        <v>Rio Branco</v>
      </c>
      <c r="D382" s="24" t="str">
        <f>IFERROR(__xludf.DUMMYFUNCTION("""COMPUTED_VALUE"""),"Edufac")</f>
        <v>Edufac</v>
      </c>
      <c r="E382" s="25">
        <f>IFERROR(__xludf.DUMMYFUNCTION("""COMPUTED_VALUE"""),2016.0)</f>
        <v>2016</v>
      </c>
      <c r="F382" s="24" t="str">
        <f>IFERROR(__xludf.DUMMYFUNCTION("""COMPUTED_VALUE"""),"Línguas; Linguística aplicada; Ensino")</f>
        <v>Línguas; Linguística aplicada; Ensino</v>
      </c>
      <c r="G382" s="28" t="str">
        <f>IFERROR(__xludf.DUMMYFUNCTION("""COMPUTED_VALUE"""),"9788582360231")</f>
        <v>9788582360231</v>
      </c>
      <c r="H382" s="29" t="str">
        <f>IFERROR(__xludf.DUMMYFUNCTION("""COMPUTED_VALUE"""),"http://www2.ufac.br/editora/livros/perspectivas-para-o-ensino-de-linguas.pdf")</f>
        <v>http://www2.ufac.br/editora/livros/perspectivas-para-o-ensino-de-linguas.pdf</v>
      </c>
      <c r="I382" s="24" t="str">
        <f>IFERROR(__xludf.DUMMYFUNCTION("""COMPUTED_VALUE"""),"Lingüística Letras e Artes")</f>
        <v>Lingüística Letras e Artes</v>
      </c>
    </row>
    <row r="383">
      <c r="A383" s="24" t="str">
        <f>IFERROR(__xludf.DUMMYFUNCTION("""COMPUTED_VALUE"""),"Pessoas partidas (III Prêmio UFES de Literatura)")</f>
        <v>Pessoas partidas (III Prêmio UFES de Literatura)</v>
      </c>
      <c r="B383" s="24" t="str">
        <f>IFERROR(__xludf.DUMMYFUNCTION("""COMPUTED_VALUE"""),"Diego Vieira Lopes")</f>
        <v>Diego Vieira Lopes</v>
      </c>
      <c r="C383" s="24" t="str">
        <f>IFERROR(__xludf.DUMMYFUNCTION("""COMPUTED_VALUE"""),"Vitória")</f>
        <v>Vitória</v>
      </c>
      <c r="D383" s="24" t="str">
        <f>IFERROR(__xludf.DUMMYFUNCTION("""COMPUTED_VALUE"""),"EDUFES")</f>
        <v>EDUFES</v>
      </c>
      <c r="E383" s="25">
        <f>IFERROR(__xludf.DUMMYFUNCTION("""COMPUTED_VALUE"""),2016.0)</f>
        <v>2016</v>
      </c>
      <c r="F383" s="24" t="str">
        <f>IFERROR(__xludf.DUMMYFUNCTION("""COMPUTED_VALUE"""),"Contos brasileiros; Crônicas brasileiras; Contos; Crônicas")</f>
        <v>Contos brasileiros; Crônicas brasileiras; Contos; Crônicas</v>
      </c>
      <c r="G383" s="28" t="str">
        <f>IFERROR(__xludf.DUMMYFUNCTION("""COMPUTED_VALUE"""),"9788577723522")</f>
        <v>9788577723522</v>
      </c>
      <c r="H383" s="29" t="str">
        <f>IFERROR(__xludf.DUMMYFUNCTION("""COMPUTED_VALUE"""),"http://repositorio.ufes.br/handle/10/6780")</f>
        <v>http://repositorio.ufes.br/handle/10/6780</v>
      </c>
      <c r="I383" s="24" t="str">
        <f>IFERROR(__xludf.DUMMYFUNCTION("""COMPUTED_VALUE"""),"Lingüística Letras e Artes")</f>
        <v>Lingüística Letras e Artes</v>
      </c>
    </row>
    <row r="384">
      <c r="A384" s="24" t="str">
        <f>IFERROR(__xludf.DUMMYFUNCTION("""COMPUTED_VALUE"""),"Peteĩha jechuka katupyry ñe’ẽ poty guaraníme: poesia guarani")</f>
        <v>Peteĩha jechuka katupyry ñe’ẽ poty guaraníme: poesia guarani</v>
      </c>
      <c r="B384" s="24" t="str">
        <f>IFERROR(__xludf.DUMMYFUNCTION("""COMPUTED_VALUE"""),"(org.) Francisco Vanderlei Ferreira da Costa; Áurea Rita de Ávila Ferreira")</f>
        <v>(org.) Francisco Vanderlei Ferreira da Costa; Áurea Rita de Ávila Ferreira</v>
      </c>
      <c r="C384" s="24" t="str">
        <f>IFERROR(__xludf.DUMMYFUNCTION("""COMPUTED_VALUE"""),"Dourados, MS")</f>
        <v>Dourados, MS</v>
      </c>
      <c r="D384" s="24" t="str">
        <f>IFERROR(__xludf.DUMMYFUNCTION("""COMPUTED_VALUE"""),"Ed. da UFGD")</f>
        <v>Ed. da UFGD</v>
      </c>
      <c r="E384" s="25">
        <f>IFERROR(__xludf.DUMMYFUNCTION("""COMPUTED_VALUE"""),2013.0)</f>
        <v>2013</v>
      </c>
      <c r="F384" s="24" t="str">
        <f>IFERROR(__xludf.DUMMYFUNCTION("""COMPUTED_VALUE"""),"Literatura Guarani; Poesias Guarani. I. Costa, Francisco Vanderlei Ferreira da")</f>
        <v>Literatura Guarani; Poesias Guarani. I. Costa, Francisco Vanderlei Ferreira da</v>
      </c>
      <c r="G384" s="28" t="str">
        <f>IFERROR(__xludf.DUMMYFUNCTION("""COMPUTED_VALUE"""),"9788581470399")</f>
        <v>9788581470399</v>
      </c>
      <c r="H384" s="29" t="str">
        <f>IFERROR(__xludf.DUMMYFUNCTION("""COMPUTED_VALUE"""),"http://omp.ufgd.edu.br/omp/index.php/livrosabertos/catalog/view/165/180/461-1")</f>
        <v>http://omp.ufgd.edu.br/omp/index.php/livrosabertos/catalog/view/165/180/461-1</v>
      </c>
      <c r="I384" s="24" t="str">
        <f>IFERROR(__xludf.DUMMYFUNCTION("""COMPUTED_VALUE"""),"Lingüística Letras e Artes")</f>
        <v>Lingüística Letras e Artes</v>
      </c>
    </row>
    <row r="385">
      <c r="A385" s="24" t="str">
        <f>IFERROR(__xludf.DUMMYFUNCTION("""COMPUTED_VALUE"""),"Pintado: o mascote do museu")</f>
        <v>Pintado: o mascote do museu</v>
      </c>
      <c r="B385" s="24" t="str">
        <f>IFERROR(__xludf.DUMMYFUNCTION("""COMPUTED_VALUE"""),"Cabral, Vamber; Gaidzinski, Morgana Cirimbelli")</f>
        <v>Cabral, Vamber; Gaidzinski, Morgana Cirimbelli</v>
      </c>
      <c r="C385" s="24" t="str">
        <f>IFERROR(__xludf.DUMMYFUNCTION("""COMPUTED_VALUE"""),"Criciúma")</f>
        <v>Criciúma</v>
      </c>
      <c r="D385" s="24" t="str">
        <f>IFERROR(__xludf.DUMMYFUNCTION("""COMPUTED_VALUE"""),"Unesc")</f>
        <v>Unesc</v>
      </c>
      <c r="E385" s="25">
        <f>IFERROR(__xludf.DUMMYFUNCTION("""COMPUTED_VALUE"""),2017.0)</f>
        <v>2017</v>
      </c>
      <c r="F385" s="24" t="str">
        <f>IFERROR(__xludf.DUMMYFUNCTION("""COMPUTED_VALUE"""),"Literatura infantojuvenil; Mata Atlântica – Preservação – Literatura infantojuvenil; Desmatamento – Literatura infantojuvenil; Material didático")</f>
        <v>Literatura infantojuvenil; Mata Atlântica – Preservação – Literatura infantojuvenil; Desmatamento – Literatura infantojuvenil; Material didático</v>
      </c>
      <c r="G385" s="26"/>
      <c r="H385" s="29" t="str">
        <f>IFERROR(__xludf.DUMMYFUNCTION("""COMPUTED_VALUE"""),"http://repositorio.unesc.net/handle/1/5302")</f>
        <v>http://repositorio.unesc.net/handle/1/5302</v>
      </c>
      <c r="I385" s="24" t="str">
        <f>IFERROR(__xludf.DUMMYFUNCTION("""COMPUTED_VALUE"""),"Lingüística Letras e Artes")</f>
        <v>Lingüística Letras e Artes</v>
      </c>
    </row>
    <row r="386">
      <c r="A386" s="24" t="str">
        <f>IFERROR(__xludf.DUMMYFUNCTION("""COMPUTED_VALUE"""),"Plantando sonhos 2016: teatro na escola")</f>
        <v>Plantando sonhos 2016: teatro na escola</v>
      </c>
      <c r="B386" s="24" t="str">
        <f>IFERROR(__xludf.DUMMYFUNCTION("""COMPUTED_VALUE"""),"Aurora Joly Penna Mariotti; Joceli de Fátima C. Lazier; José Antonio da Silva (org.)")</f>
        <v>Aurora Joly Penna Mariotti; Joceli de Fátima C. Lazier; José Antonio da Silva (org.)</v>
      </c>
      <c r="C386" s="24" t="str">
        <f>IFERROR(__xludf.DUMMYFUNCTION("""COMPUTED_VALUE"""),"Piracicaba, SP")</f>
        <v>Piracicaba, SP</v>
      </c>
      <c r="D386" s="24" t="str">
        <f>IFERROR(__xludf.DUMMYFUNCTION("""COMPUTED_VALUE"""),"UNIMEP")</f>
        <v>UNIMEP</v>
      </c>
      <c r="E386" s="25">
        <f>IFERROR(__xludf.DUMMYFUNCTION("""COMPUTED_VALUE"""),2015.0)</f>
        <v>2015</v>
      </c>
      <c r="F386" s="24" t="str">
        <f>IFERROR(__xludf.DUMMYFUNCTION("""COMPUTED_VALUE"""),"Teatro. Estudo e ensino. Memória")</f>
        <v>Teatro. Estudo e ensino. Memória</v>
      </c>
      <c r="G386" s="28" t="str">
        <f>IFERROR(__xludf.DUMMYFUNCTION("""COMPUTED_VALUE"""),"9788585541866")</f>
        <v>9788585541866</v>
      </c>
      <c r="H386" s="29" t="str">
        <f>IFERROR(__xludf.DUMMYFUNCTION("""COMPUTED_VALUE"""),"http://editora.metodista.br/livros-gratis/Plantando%20Sonhos%202016.pdf/at_download/file")</f>
        <v>http://editora.metodista.br/livros-gratis/Plantando%20Sonhos%202016.pdf/at_download/file</v>
      </c>
      <c r="I386" s="24" t="str">
        <f>IFERROR(__xludf.DUMMYFUNCTION("""COMPUTED_VALUE"""),"Lingüística Letras e Artes")</f>
        <v>Lingüística Letras e Artes</v>
      </c>
    </row>
    <row r="387">
      <c r="A387" s="24" t="str">
        <f>IFERROR(__xludf.DUMMYFUNCTION("""COMPUTED_VALUE"""),"Poemadançando: Gilka Machado e Eros Volúsia")</f>
        <v>Poemadançando: Gilka Machado e Eros Volúsia</v>
      </c>
      <c r="B387" s="24" t="str">
        <f>IFERROR(__xludf.DUMMYFUNCTION("""COMPUTED_VALUE"""),"Soraia Maria Silva")</f>
        <v>Soraia Maria Silva</v>
      </c>
      <c r="C387" s="24" t="str">
        <f>IFERROR(__xludf.DUMMYFUNCTION("""COMPUTED_VALUE"""),"Brasília")</f>
        <v>Brasília</v>
      </c>
      <c r="D387" s="24" t="str">
        <f>IFERROR(__xludf.DUMMYFUNCTION("""COMPUTED_VALUE"""),"Editora Universidade de Brasília")</f>
        <v>Editora Universidade de Brasília</v>
      </c>
      <c r="E387" s="25"/>
      <c r="F387" s="24" t="str">
        <f>IFERROR(__xludf.DUMMYFUNCTION("""COMPUTED_VALUE"""),"Artes, letras e linguística")</f>
        <v>Artes, letras e linguística</v>
      </c>
      <c r="G387" s="26"/>
      <c r="H387" s="29" t="str">
        <f>IFERROR(__xludf.DUMMYFUNCTION("""COMPUTED_VALUE"""),"https://livros.unb.br/index.php/portal/catalog/view/6/5/24-1")</f>
        <v>https://livros.unb.br/index.php/portal/catalog/view/6/5/24-1</v>
      </c>
      <c r="I387" s="24" t="str">
        <f>IFERROR(__xludf.DUMMYFUNCTION("""COMPUTED_VALUE"""),"Lingüística Letras e Artes")</f>
        <v>Lingüística Letras e Artes</v>
      </c>
    </row>
    <row r="388">
      <c r="A388" s="24" t="str">
        <f>IFERROR(__xludf.DUMMYFUNCTION("""COMPUTED_VALUE"""),"Poemas furta-cores")</f>
        <v>Poemas furta-cores</v>
      </c>
      <c r="B388" s="24" t="str">
        <f>IFERROR(__xludf.DUMMYFUNCTION("""COMPUTED_VALUE"""),"Geraldo Lavigne de Lemos")</f>
        <v>Geraldo Lavigne de Lemos</v>
      </c>
      <c r="C388" s="24" t="str">
        <f>IFERROR(__xludf.DUMMYFUNCTION("""COMPUTED_VALUE"""),"Ilhéus, BA")</f>
        <v>Ilhéus, BA</v>
      </c>
      <c r="D388" s="24" t="str">
        <f>IFERROR(__xludf.DUMMYFUNCTION("""COMPUTED_VALUE"""),"Editus")</f>
        <v>Editus</v>
      </c>
      <c r="E388" s="25">
        <f>IFERROR(__xludf.DUMMYFUNCTION("""COMPUTED_VALUE"""),2018.0)</f>
        <v>2018</v>
      </c>
      <c r="F388" s="24" t="str">
        <f>IFERROR(__xludf.DUMMYFUNCTION("""COMPUTED_VALUE"""),"Poemas em prosa; Poemas em prosa brasileiros – Bahia; Linguagem e línguas; Literatura brasileira")</f>
        <v>Poemas em prosa; Poemas em prosa brasileiros – Bahia; Linguagem e línguas; Literatura brasileira</v>
      </c>
      <c r="G388" s="28" t="str">
        <f>IFERROR(__xludf.DUMMYFUNCTION("""COMPUTED_VALUE"""),"9788574554662")</f>
        <v>9788574554662</v>
      </c>
      <c r="H388" s="29" t="str">
        <f>IFERROR(__xludf.DUMMYFUNCTION("""COMPUTED_VALUE"""),"http://www.uesc.br/editora/livrosdigitais2019/poemas-furta-cores.pdf")</f>
        <v>http://www.uesc.br/editora/livrosdigitais2019/poemas-furta-cores.pdf</v>
      </c>
      <c r="I388" s="24" t="str">
        <f>IFERROR(__xludf.DUMMYFUNCTION("""COMPUTED_VALUE"""),"Lingüística Letras e Artes")</f>
        <v>Lingüística Letras e Artes</v>
      </c>
    </row>
    <row r="389">
      <c r="A389" s="24" t="str">
        <f>IFERROR(__xludf.DUMMYFUNCTION("""COMPUTED_VALUE"""),"Poiesis do real : Literatura e multiplicidade Vol. 1")</f>
        <v>Poiesis do real : Literatura e multiplicidade Vol. 1</v>
      </c>
      <c r="B389" s="24" t="str">
        <f>IFERROR(__xludf.DUMMYFUNCTION("""COMPUTED_VALUE"""),"Luciano B. Justino (org.)")</f>
        <v>Luciano B. Justino (org.)</v>
      </c>
      <c r="C389" s="24" t="str">
        <f>IFERROR(__xludf.DUMMYFUNCTION("""COMPUTED_VALUE"""),"Campina Grande")</f>
        <v>Campina Grande</v>
      </c>
      <c r="D389" s="24" t="str">
        <f>IFERROR(__xludf.DUMMYFUNCTION("""COMPUTED_VALUE"""),"EDUEPB")</f>
        <v>EDUEPB</v>
      </c>
      <c r="E389" s="25">
        <f>IFERROR(__xludf.DUMMYFUNCTION("""COMPUTED_VALUE"""),2019.0)</f>
        <v>2019</v>
      </c>
      <c r="F389" s="24" t="str">
        <f>IFERROR(__xludf.DUMMYFUNCTION("""COMPUTED_VALUE"""),"Literatura - análise crítica. Literatura e interculturalidade. Dialogismo. Hermenêutica. Ficção historiográfica. Literatura comparada. Intermidialidade")</f>
        <v>Literatura - análise crítica. Literatura e interculturalidade. Dialogismo. Hermenêutica. Ficção historiográfica. Literatura comparada. Intermidialidade</v>
      </c>
      <c r="G389" s="28" t="str">
        <f>IFERROR(__xludf.DUMMYFUNCTION("""COMPUTED_VALUE"""),"9788578795757")</f>
        <v>9788578795757</v>
      </c>
      <c r="H389" s="29" t="str">
        <f>IFERROR(__xludf.DUMMYFUNCTION("""COMPUTED_VALUE"""),"http://eduepb.uepb.edu.br/download/poiesis-do-real-vol-1/?wpdmdl=768&amp;amp;masterkey=5d2496fc5d06c")</f>
        <v>http://eduepb.uepb.edu.br/download/poiesis-do-real-vol-1/?wpdmdl=768&amp;amp;masterkey=5d2496fc5d06c</v>
      </c>
      <c r="I389" s="24" t="str">
        <f>IFERROR(__xludf.DUMMYFUNCTION("""COMPUTED_VALUE"""),"Lingüística Letras e Artes")</f>
        <v>Lingüística Letras e Artes</v>
      </c>
    </row>
    <row r="390">
      <c r="A390" s="24" t="str">
        <f>IFERROR(__xludf.DUMMYFUNCTION("""COMPUTED_VALUE"""),"Poiesis do real : Literatura e multiplicidade Vol. 2")</f>
        <v>Poiesis do real : Literatura e multiplicidade Vol. 2</v>
      </c>
      <c r="B390" s="24" t="str">
        <f>IFERROR(__xludf.DUMMYFUNCTION("""COMPUTED_VALUE"""),"Luciano B. Justino (org.)")</f>
        <v>Luciano B. Justino (org.)</v>
      </c>
      <c r="C390" s="24" t="str">
        <f>IFERROR(__xludf.DUMMYFUNCTION("""COMPUTED_VALUE"""),"Campina Grande")</f>
        <v>Campina Grande</v>
      </c>
      <c r="D390" s="24" t="str">
        <f>IFERROR(__xludf.DUMMYFUNCTION("""COMPUTED_VALUE"""),"EDUEPB")</f>
        <v>EDUEPB</v>
      </c>
      <c r="E390" s="25">
        <f>IFERROR(__xludf.DUMMYFUNCTION("""COMPUTED_VALUE"""),2019.0)</f>
        <v>2019</v>
      </c>
      <c r="F390" s="24" t="str">
        <f>IFERROR(__xludf.DUMMYFUNCTION("""COMPUTED_VALUE"""),"Literatura - análise crítica. Literatura e interculturalidade. Dialogismo. Hermenêutica. Ficção historiográfica. Literatura comparada. Intermidialidade")</f>
        <v>Literatura - análise crítica. Literatura e interculturalidade. Dialogismo. Hermenêutica. Ficção historiográfica. Literatura comparada. Intermidialidade</v>
      </c>
      <c r="G390" s="28" t="str">
        <f>IFERROR(__xludf.DUMMYFUNCTION("""COMPUTED_VALUE"""),"9788578795733")</f>
        <v>9788578795733</v>
      </c>
      <c r="H390" s="29" t="str">
        <f>IFERROR(__xludf.DUMMYFUNCTION("""COMPUTED_VALUE"""),"http://eduepb.uepb.edu.br/download/poiesis-do-real-literatura-e-multiplicidade-vol-2/?wpdmdl=764&amp;amp;masterkey=5d24960030c13")</f>
        <v>http://eduepb.uepb.edu.br/download/poiesis-do-real-literatura-e-multiplicidade-vol-2/?wpdmdl=764&amp;amp;masterkey=5d24960030c13</v>
      </c>
      <c r="I390" s="24" t="str">
        <f>IFERROR(__xludf.DUMMYFUNCTION("""COMPUTED_VALUE"""),"Lingüística Letras e Artes")</f>
        <v>Lingüística Letras e Artes</v>
      </c>
    </row>
    <row r="391">
      <c r="A391" s="24" t="str">
        <f>IFERROR(__xludf.DUMMYFUNCTION("""COMPUTED_VALUE"""),"Por que é importante ler literatura")</f>
        <v>Por que é importante ler literatura</v>
      </c>
      <c r="B391" s="24" t="str">
        <f>IFERROR(__xludf.DUMMYFUNCTION("""COMPUTED_VALUE"""),"Maria Mirtis Caser, Santinho Ferreira de Souza (org.)")</f>
        <v>Maria Mirtis Caser, Santinho Ferreira de Souza (org.)</v>
      </c>
      <c r="C391" s="24" t="str">
        <f>IFERROR(__xludf.DUMMYFUNCTION("""COMPUTED_VALUE"""),"Vitória")</f>
        <v>Vitória</v>
      </c>
      <c r="D391" s="24" t="str">
        <f>IFERROR(__xludf.DUMMYFUNCTION("""COMPUTED_VALUE"""),"EDUFES")</f>
        <v>EDUFES</v>
      </c>
      <c r="E391" s="25">
        <f>IFERROR(__xludf.DUMMYFUNCTION("""COMPUTED_VALUE"""),2015.0)</f>
        <v>2015</v>
      </c>
      <c r="F391" s="24" t="str">
        <f>IFERROR(__xludf.DUMMYFUNCTION("""COMPUTED_VALUE"""),"Incentivo à leitura; Literatura; Leitura")</f>
        <v>Incentivo à leitura; Literatura; Leitura</v>
      </c>
      <c r="G391" s="28" t="str">
        <f>IFERROR(__xludf.DUMMYFUNCTION("""COMPUTED_VALUE"""),"9788577722716")</f>
        <v>9788577722716</v>
      </c>
      <c r="H391" s="29" t="str">
        <f>IFERROR(__xludf.DUMMYFUNCTION("""COMPUTED_VALUE"""),"http://repositorio.ufes.br/bitstream/10/1278/1/Livro%20edufes%20Por%20que%20%C3%A9%20importante%20ler%20literatura.pdf")</f>
        <v>http://repositorio.ufes.br/bitstream/10/1278/1/Livro%20edufes%20Por%20que%20%C3%A9%20importante%20ler%20literatura.pdf</v>
      </c>
      <c r="I391" s="24" t="str">
        <f>IFERROR(__xludf.DUMMYFUNCTION("""COMPUTED_VALUE"""),"Lingüística Letras e Artes")</f>
        <v>Lingüística Letras e Artes</v>
      </c>
    </row>
    <row r="392">
      <c r="A392" s="24" t="str">
        <f>IFERROR(__xludf.DUMMYFUNCTION("""COMPUTED_VALUE"""),"Portugalidade ")</f>
        <v>Portugalidade </v>
      </c>
      <c r="B392" s="24" t="str">
        <f>IFERROR(__xludf.DUMMYFUNCTION("""COMPUTED_VALUE"""),"Olira Saraiva Rodrigues")</f>
        <v>Olira Saraiva Rodrigues</v>
      </c>
      <c r="C392" s="24" t="str">
        <f>IFERROR(__xludf.DUMMYFUNCTION("""COMPUTED_VALUE"""),"Anápolis")</f>
        <v>Anápolis</v>
      </c>
      <c r="D392" s="24" t="str">
        <f>IFERROR(__xludf.DUMMYFUNCTION("""COMPUTED_VALUE"""),"UEG")</f>
        <v>UEG</v>
      </c>
      <c r="E392" s="25">
        <f>IFERROR(__xludf.DUMMYFUNCTION("""COMPUTED_VALUE"""),2020.0)</f>
        <v>2020</v>
      </c>
      <c r="F392" s="24" t="str">
        <f>IFERROR(__xludf.DUMMYFUNCTION("""COMPUTED_VALUE"""),"Portugal - fotografias")</f>
        <v>Portugal - fotografias</v>
      </c>
      <c r="G392" s="28" t="str">
        <f>IFERROR(__xludf.DUMMYFUNCTION("""COMPUTED_VALUE"""),"9786588502006")</f>
        <v>9786588502006</v>
      </c>
      <c r="H392" s="29" t="str">
        <f>IFERROR(__xludf.DUMMYFUNCTION("""COMPUTED_VALUE"""),"http://cdn.ueg.edu.br/source/editora_ueg/conteudo_extensao/11496/ebook_portugalidade_2020.pdf")</f>
        <v>http://cdn.ueg.edu.br/source/editora_ueg/conteudo_extensao/11496/ebook_portugalidade_2020.pdf</v>
      </c>
      <c r="I392" s="24" t="str">
        <f>IFERROR(__xludf.DUMMYFUNCTION("""COMPUTED_VALUE"""),"Lingüística Letras e Artes")</f>
        <v>Lingüística Letras e Artes</v>
      </c>
    </row>
    <row r="393">
      <c r="A393" s="24" t="str">
        <f>IFERROR(__xludf.DUMMYFUNCTION("""COMPUTED_VALUE"""),"Português Brasileiro II: contato lingüístico, heterogeneidade e história")</f>
        <v>Português Brasileiro II: contato lingüístico, heterogeneidade e história</v>
      </c>
      <c r="B393" s="24" t="str">
        <f>IFERROR(__xludf.DUMMYFUNCTION("""COMPUTED_VALUE"""),"Claudia Roncarati e Jussara Abraçado (org.)")</f>
        <v>Claudia Roncarati e Jussara Abraçado (org.)</v>
      </c>
      <c r="C393" s="24" t="str">
        <f>IFERROR(__xludf.DUMMYFUNCTION("""COMPUTED_VALUE"""),"Niterói, RJ")</f>
        <v>Niterói, RJ</v>
      </c>
      <c r="D393" s="24" t="str">
        <f>IFERROR(__xludf.DUMMYFUNCTION("""COMPUTED_VALUE"""),"EDUFF")</f>
        <v>EDUFF</v>
      </c>
      <c r="E393" s="25">
        <f>IFERROR(__xludf.DUMMYFUNCTION("""COMPUTED_VALUE"""),2008.0)</f>
        <v>2008</v>
      </c>
      <c r="F393" s="24" t="str">
        <f>IFERROR(__xludf.DUMMYFUNCTION("""COMPUTED_VALUE"""),"Língua Portuguesa - Brasil; Linguagem e língua - variação; Lingüística ")</f>
        <v>Língua Portuguesa - Brasil; Linguagem e língua - variação; Lingüística </v>
      </c>
      <c r="G393" s="28" t="str">
        <f>IFERROR(__xludf.DUMMYFUNCTION("""COMPUTED_VALUE"""),"9788522804665")</f>
        <v>9788522804665</v>
      </c>
      <c r="H393" s="29" t="str">
        <f>IFERROR(__xludf.DUMMYFUNCTION("""COMPUTED_VALUE"""),"http://bit.ly/Portugues-brasileiro-II-01")</f>
        <v>http://bit.ly/Portugues-brasileiro-II-01</v>
      </c>
      <c r="I393" s="24" t="str">
        <f>IFERROR(__xludf.DUMMYFUNCTION("""COMPUTED_VALUE"""),"Lingüística Letras e Artes")</f>
        <v>Lingüística Letras e Artes</v>
      </c>
    </row>
    <row r="394">
      <c r="A394" s="24" t="str">
        <f>IFERROR(__xludf.DUMMYFUNCTION("""COMPUTED_VALUE"""),"Português como língua de acolhimento")</f>
        <v>Português como língua de acolhimento</v>
      </c>
      <c r="B394" s="24" t="str">
        <f>IFERROR(__xludf.DUMMYFUNCTION("""COMPUTED_VALUE"""),"Mônica de Lourdes Neves Santana; Andrea Pacheco Pacífico (org.)")</f>
        <v>Mônica de Lourdes Neves Santana; Andrea Pacheco Pacífico (org.)</v>
      </c>
      <c r="C394" s="24" t="str">
        <f>IFERROR(__xludf.DUMMYFUNCTION("""COMPUTED_VALUE"""),"Campina Grande")</f>
        <v>Campina Grande</v>
      </c>
      <c r="D394" s="24" t="str">
        <f>IFERROR(__xludf.DUMMYFUNCTION("""COMPUTED_VALUE"""),"EDUEPB")</f>
        <v>EDUEPB</v>
      </c>
      <c r="E394" s="25">
        <f>IFERROR(__xludf.DUMMYFUNCTION("""COMPUTED_VALUE"""),2019.0)</f>
        <v>2019</v>
      </c>
      <c r="F394" s="24" t="str">
        <f>IFERROR(__xludf.DUMMYFUNCTION("""COMPUTED_VALUE"""),"Língua Portuguesa - estudo e ensino. Português - ensino - migrantes latinos. Relações internacionais Brasil - Venezuela. Refugiados - Paraíba. Migração - Venezuela - Brasil")</f>
        <v>Língua Portuguesa - estudo e ensino. Português - ensino - migrantes latinos. Relações internacionais Brasil - Venezuela. Refugiados - Paraíba. Migração - Venezuela - Brasil</v>
      </c>
      <c r="G394" s="28" t="str">
        <f>IFERROR(__xludf.DUMMYFUNCTION("""COMPUTED_VALUE"""),"9788578795535")</f>
        <v>9788578795535</v>
      </c>
      <c r="H394" s="29" t="str">
        <f>IFERROR(__xludf.DUMMYFUNCTION("""COMPUTED_VALUE"""),"http://eduepb.uepb.edu.br/download/portugues-como-lingua-de-acolhimento/?wpdmdl=817&amp;#038;masterkey=5d5d6526cc496")</f>
        <v>http://eduepb.uepb.edu.br/download/portugues-como-lingua-de-acolhimento/?wpdmdl=817&amp;#038;masterkey=5d5d6526cc496</v>
      </c>
      <c r="I394" s="24" t="str">
        <f>IFERROR(__xludf.DUMMYFUNCTION("""COMPUTED_VALUE"""),"Lingüística Letras e Artes")</f>
        <v>Lingüística Letras e Artes</v>
      </c>
    </row>
    <row r="395">
      <c r="A395" s="24" t="str">
        <f>IFERROR(__xludf.DUMMYFUNCTION("""COMPUTED_VALUE"""),"Português em contexto italiano: história, instrumentalização, análise e promoção ")</f>
        <v>Português em contexto italiano: história, instrumentalização, análise e promoção </v>
      </c>
      <c r="B395" s="24" t="str">
        <f>IFERROR(__xludf.DUMMYFUNCTION("""COMPUTED_VALUE"""),"Déborah Magalhães de Barros; Gian Luigi De Rosa; Vânia Cristina Casseb-Galvão (org.)")</f>
        <v>Déborah Magalhães de Barros; Gian Luigi De Rosa; Vânia Cristina Casseb-Galvão (org.)</v>
      </c>
      <c r="C395" s="24" t="str">
        <f>IFERROR(__xludf.DUMMYFUNCTION("""COMPUTED_VALUE"""),"Anápolis")</f>
        <v>Anápolis</v>
      </c>
      <c r="D395" s="24" t="str">
        <f>IFERROR(__xludf.DUMMYFUNCTION("""COMPUTED_VALUE"""),"UEG")</f>
        <v>UEG</v>
      </c>
      <c r="E395" s="25">
        <f>IFERROR(__xludf.DUMMYFUNCTION("""COMPUTED_VALUE"""),2019.0)</f>
        <v>2019</v>
      </c>
      <c r="F395" s="24" t="str">
        <f>IFERROR(__xludf.DUMMYFUNCTION("""COMPUTED_VALUE"""),"Português. Linguas. Literatura")</f>
        <v>Português. Linguas. Literatura</v>
      </c>
      <c r="G395" s="28" t="str">
        <f>IFERROR(__xludf.DUMMYFUNCTION("""COMPUTED_VALUE"""),"9788555820649")</f>
        <v>9788555820649</v>
      </c>
      <c r="H395" s="29" t="str">
        <f>IFERROR(__xludf.DUMMYFUNCTION("""COMPUTED_VALUE"""),"http://cdn.ueg.edu.br/source/editora_ueg/conteudo_extensao/11118/ebook_portugues_em_contexto_italiano_2019.pdf")</f>
        <v>http://cdn.ueg.edu.br/source/editora_ueg/conteudo_extensao/11118/ebook_portugues_em_contexto_italiano_2019.pdf</v>
      </c>
      <c r="I395" s="24" t="str">
        <f>IFERROR(__xludf.DUMMYFUNCTION("""COMPUTED_VALUE"""),"Lingüística Letras e Artes")</f>
        <v>Lingüística Letras e Artes</v>
      </c>
    </row>
    <row r="396">
      <c r="A396" s="24" t="str">
        <f>IFERROR(__xludf.DUMMYFUNCTION("""COMPUTED_VALUE"""),"Português para estrangeiros: questões interculturais")</f>
        <v>Português para estrangeiros: questões interculturais</v>
      </c>
      <c r="B396" s="24" t="str">
        <f>IFERROR(__xludf.DUMMYFUNCTION("""COMPUTED_VALUE"""),"Rosa Marina de Brito Meyer; Adriana Albuquerque; (Organizadoras)")</f>
        <v>Rosa Marina de Brito Meyer; Adriana Albuquerque; (Organizadoras)</v>
      </c>
      <c r="C396" s="24" t="str">
        <f>IFERROR(__xludf.DUMMYFUNCTION("""COMPUTED_VALUE"""),"Rio de Janeiro")</f>
        <v>Rio de Janeiro</v>
      </c>
      <c r="D396" s="24" t="str">
        <f>IFERROR(__xludf.DUMMYFUNCTION("""COMPUTED_VALUE"""),"Editora PUC Rio")</f>
        <v>Editora PUC Rio</v>
      </c>
      <c r="E396" s="25">
        <f>IFERROR(__xludf.DUMMYFUNCTION("""COMPUTED_VALUE"""),2013.0)</f>
        <v>2013</v>
      </c>
      <c r="F396" s="24" t="str">
        <f>IFERROR(__xludf.DUMMYFUNCTION("""COMPUTED_VALUE"""),"Língua portuguesa – Estudo e ensino. Educação intercultural")</f>
        <v>Língua portuguesa – Estudo e ensino. Educação intercultural</v>
      </c>
      <c r="G396" s="28" t="str">
        <f>IFERROR(__xludf.DUMMYFUNCTION("""COMPUTED_VALUE"""),"9788580060812")</f>
        <v>9788580060812</v>
      </c>
      <c r="H396" s="29" t="str">
        <f>IFERROR(__xludf.DUMMYFUNCTION("""COMPUTED_VALUE"""),"http://www.editora.puc-rio.br/media/portugues%20para%20estrangeiros%20final.pdf")</f>
        <v>http://www.editora.puc-rio.br/media/portugues%20para%20estrangeiros%20final.pdf</v>
      </c>
      <c r="I396" s="24" t="str">
        <f>IFERROR(__xludf.DUMMYFUNCTION("""COMPUTED_VALUE"""),"Lingüística Letras e Artes")</f>
        <v>Lingüística Letras e Artes</v>
      </c>
    </row>
    <row r="397">
      <c r="A397" s="24" t="str">
        <f>IFERROR(__xludf.DUMMYFUNCTION("""COMPUTED_VALUE"""),"Português: uma língua internacional")</f>
        <v>Português: uma língua internacional</v>
      </c>
      <c r="B397" s="24" t="str">
        <f>IFERROR(__xludf.DUMMYFUNCTION("""COMPUTED_VALUE"""),"Rosa Marina de Brito Meyer; Adriana Albuquerque; (Organizadoras)")</f>
        <v>Rosa Marina de Brito Meyer; Adriana Albuquerque; (Organizadoras)</v>
      </c>
      <c r="C397" s="24" t="str">
        <f>IFERROR(__xludf.DUMMYFUNCTION("""COMPUTED_VALUE"""),"Rio de Janeiro")</f>
        <v>Rio de Janeiro</v>
      </c>
      <c r="D397" s="24" t="str">
        <f>IFERROR(__xludf.DUMMYFUNCTION("""COMPUTED_VALUE"""),"Editora PUC Rio")</f>
        <v>Editora PUC Rio</v>
      </c>
      <c r="E397" s="25">
        <f>IFERROR(__xludf.DUMMYFUNCTION("""COMPUTED_VALUE"""),2015.0)</f>
        <v>2015</v>
      </c>
      <c r="F397" s="24" t="str">
        <f>IFERROR(__xludf.DUMMYFUNCTION("""COMPUTED_VALUE"""),"Língua portuguesa - Estudo e ensino. Aquisição da segunda língua")</f>
        <v>Língua portuguesa - Estudo e ensino. Aquisição da segunda língua</v>
      </c>
      <c r="G397" s="28" t="str">
        <f>IFERROR(__xludf.DUMMYFUNCTION("""COMPUTED_VALUE"""),"9788580061697")</f>
        <v>9788580061697</v>
      </c>
      <c r="H397" s="29" t="str">
        <f>IFERROR(__xludf.DUMMYFUNCTION("""COMPUTED_VALUE"""),"http://www.editora.puc-rio.br/media/portugues%20uma%20lingua%20internacional%20novo.pdf")</f>
        <v>http://www.editora.puc-rio.br/media/portugues%20uma%20lingua%20internacional%20novo.pdf</v>
      </c>
      <c r="I397" s="24" t="str">
        <f>IFERROR(__xludf.DUMMYFUNCTION("""COMPUTED_VALUE"""),"Lingüística Letras e Artes")</f>
        <v>Lingüística Letras e Artes</v>
      </c>
    </row>
    <row r="398">
      <c r="A398" s="24" t="str">
        <f>IFERROR(__xludf.DUMMYFUNCTION("""COMPUTED_VALUE"""),"Pós-Colonialismo e Literatura: questões identitárias nos países africanos de língua oficial portuguesa ")</f>
        <v>Pós-Colonialismo e Literatura: questões identitárias nos países africanos de língua oficial portuguesa </v>
      </c>
      <c r="B398" s="24" t="str">
        <f>IFERROR(__xludf.DUMMYFUNCTION("""COMPUTED_VALUE"""),"Marcos Paulo T. Pereira; Natalí Fabiana da Costa e Silva; Francisco Wellington Rodrigues Lima; Kássio Moreira (org.)")</f>
        <v>Marcos Paulo T. Pereira; Natalí Fabiana da Costa e Silva; Francisco Wellington Rodrigues Lima; Kássio Moreira (org.)</v>
      </c>
      <c r="C398" s="24" t="str">
        <f>IFERROR(__xludf.DUMMYFUNCTION("""COMPUTED_VALUE"""),"Macapá")</f>
        <v>Macapá</v>
      </c>
      <c r="D398" s="24" t="str">
        <f>IFERROR(__xludf.DUMMYFUNCTION("""COMPUTED_VALUE"""),"UNIFAP")</f>
        <v>UNIFAP</v>
      </c>
      <c r="E398" s="25">
        <f>IFERROR(__xludf.DUMMYFUNCTION("""COMPUTED_VALUE"""),2017.0)</f>
        <v>2017</v>
      </c>
      <c r="F398" s="24" t="str">
        <f>IFERROR(__xludf.DUMMYFUNCTION("""COMPUTED_VALUE"""),"Literatura; Pós-Colonialismo; Identidade")</f>
        <v>Literatura; Pós-Colonialismo; Identidade</v>
      </c>
      <c r="G398" s="28" t="str">
        <f>IFERROR(__xludf.DUMMYFUNCTION("""COMPUTED_VALUE"""),"9788562359613")</f>
        <v>9788562359613</v>
      </c>
      <c r="H398" s="29" t="str">
        <f>IFERROR(__xludf.DUMMYFUNCTION("""COMPUTED_VALUE"""),"https://www2.unifap.br/editora/files/2014/12/ebook_pos_colonialismo_e_literatura_unifap.pdf")</f>
        <v>https://www2.unifap.br/editora/files/2014/12/ebook_pos_colonialismo_e_literatura_unifap.pdf</v>
      </c>
      <c r="I398" s="24" t="str">
        <f>IFERROR(__xludf.DUMMYFUNCTION("""COMPUTED_VALUE"""),"Lingüística Letras e Artes")</f>
        <v>Lingüística Letras e Artes</v>
      </c>
    </row>
    <row r="399">
      <c r="A399" s="24" t="str">
        <f>IFERROR(__xludf.DUMMYFUNCTION("""COMPUTED_VALUE"""),"Poses e Flagrantes: ensaios sobre história e fotografias ")</f>
        <v>Poses e Flagrantes: ensaios sobre história e fotografias </v>
      </c>
      <c r="B399" s="24" t="str">
        <f>IFERROR(__xludf.DUMMYFUNCTION("""COMPUTED_VALUE"""),"Ana Maria Mauad")</f>
        <v>Ana Maria Mauad</v>
      </c>
      <c r="C399" s="24" t="str">
        <f>IFERROR(__xludf.DUMMYFUNCTION("""COMPUTED_VALUE"""),"Niterói, RJ")</f>
        <v>Niterói, RJ</v>
      </c>
      <c r="D399" s="24" t="str">
        <f>IFERROR(__xludf.DUMMYFUNCTION("""COMPUTED_VALUE"""),"Editora da UFF")</f>
        <v>Editora da UFF</v>
      </c>
      <c r="E399" s="25">
        <f>IFERROR(__xludf.DUMMYFUNCTION("""COMPUTED_VALUE"""),2008.0)</f>
        <v>2008</v>
      </c>
      <c r="F399" s="24" t="str">
        <f>IFERROR(__xludf.DUMMYFUNCTION("""COMPUTED_VALUE"""),"Fotografia; Fotógrafo")</f>
        <v>Fotografia; Fotógrafo</v>
      </c>
      <c r="G399" s="28" t="str">
        <f>IFERROR(__xludf.DUMMYFUNCTION("""COMPUTED_VALUE"""),"9788522804740")</f>
        <v>9788522804740</v>
      </c>
      <c r="H399" s="29" t="str">
        <f>IFERROR(__xludf.DUMMYFUNCTION("""COMPUTED_VALUE"""),"http://www.eduff.uff.br/ebooks/Poses-e-flagrantes.pdf")</f>
        <v>http://www.eduff.uff.br/ebooks/Poses-e-flagrantes.pdf</v>
      </c>
      <c r="I399" s="24" t="str">
        <f>IFERROR(__xludf.DUMMYFUNCTION("""COMPUTED_VALUE"""),"Lingüística Letras e Artes")</f>
        <v>Lingüística Letras e Artes</v>
      </c>
    </row>
    <row r="400">
      <c r="A400" s="24" t="str">
        <f>IFERROR(__xludf.DUMMYFUNCTION("""COMPUTED_VALUE"""),"Práticas de escuta do rock [recurso eletrônico]: experiência estética, mediações e materialidades da comunicação")</f>
        <v>Práticas de escuta do rock [recurso eletrônico]: experiência estética, mediações e materialidades da comunicação</v>
      </c>
      <c r="B400" s="24" t="str">
        <f>IFERROR(__xludf.DUMMYFUNCTION("""COMPUTED_VALUE"""),"Jorge Luiz Cunha Cardoso Filho")</f>
        <v>Jorge Luiz Cunha Cardoso Filho</v>
      </c>
      <c r="C400" s="24" t="str">
        <f>IFERROR(__xludf.DUMMYFUNCTION("""COMPUTED_VALUE"""),"Salvador")</f>
        <v>Salvador</v>
      </c>
      <c r="D400" s="24" t="str">
        <f>IFERROR(__xludf.DUMMYFUNCTION("""COMPUTED_VALUE"""),"EDUFBA")</f>
        <v>EDUFBA</v>
      </c>
      <c r="E400" s="25">
        <f>IFERROR(__xludf.DUMMYFUNCTION("""COMPUTED_VALUE"""),2010.0)</f>
        <v>2010</v>
      </c>
      <c r="F400" s="24" t="str">
        <f>IFERROR(__xludf.DUMMYFUNCTION("""COMPUTED_VALUE"""),"Comunicação; Rock; Escuta")</f>
        <v>Comunicação; Rock; Escuta</v>
      </c>
      <c r="G400" s="28" t="str">
        <f>IFERROR(__xludf.DUMMYFUNCTION("""COMPUTED_VALUE"""),"9788523210359")</f>
        <v>9788523210359</v>
      </c>
      <c r="H400" s="29" t="str">
        <f>IFERROR(__xludf.DUMMYFUNCTION("""COMPUTED_VALUE"""),"http://repositorio.ufba.br/ri/handle/ri/28006	")</f>
        <v>http://repositorio.ufba.br/ri/handle/ri/28006	</v>
      </c>
      <c r="I400" s="24" t="str">
        <f>IFERROR(__xludf.DUMMYFUNCTION("""COMPUTED_VALUE"""),"Lingüística Letras e Artes")</f>
        <v>Lingüística Letras e Artes</v>
      </c>
    </row>
    <row r="401">
      <c r="A401" s="24" t="str">
        <f>IFERROR(__xludf.DUMMYFUNCTION("""COMPUTED_VALUE"""),"Prêmio UFF de Literatura – Antologia de textos premiados – Poesia, Crônica, Conto")</f>
        <v>Prêmio UFF de Literatura – Antologia de textos premiados – Poesia, Crônica, Conto</v>
      </c>
      <c r="B401" s="24" t="str">
        <f>IFERROR(__xludf.DUMMYFUNCTION("""COMPUTED_VALUE"""),"Universidade Federal Fluminense/EdUFF")</f>
        <v>Universidade Federal Fluminense/EdUFF</v>
      </c>
      <c r="C401" s="24" t="str">
        <f>IFERROR(__xludf.DUMMYFUNCTION("""COMPUTED_VALUE"""),"Niterói, RJ")</f>
        <v>Niterói, RJ</v>
      </c>
      <c r="D401" s="24" t="str">
        <f>IFERROR(__xludf.DUMMYFUNCTION("""COMPUTED_VALUE"""),"EDUFF")</f>
        <v>EDUFF</v>
      </c>
      <c r="E401" s="25">
        <f>IFERROR(__xludf.DUMMYFUNCTION("""COMPUTED_VALUE"""),2011.0)</f>
        <v>2011</v>
      </c>
      <c r="F401" s="24" t="str">
        <f>IFERROR(__xludf.DUMMYFUNCTION("""COMPUTED_VALUE"""),"Literatura; Antologia; Poesia, Conto, Crônica")</f>
        <v>Literatura; Antologia; Poesia, Conto, Crônica</v>
      </c>
      <c r="G401" s="28" t="str">
        <f>IFERROR(__xludf.DUMMYFUNCTION("""COMPUTED_VALUE"""),"9788522807185")</f>
        <v>9788522807185</v>
      </c>
      <c r="H401" s="29" t="str">
        <f>IFERROR(__xludf.DUMMYFUNCTION("""COMPUTED_VALUE"""),"http://www.eduff.uff.br/ebooks/Premio-UFF-de-Literatura-2011.pdf")</f>
        <v>http://www.eduff.uff.br/ebooks/Premio-UFF-de-Literatura-2011.pdf</v>
      </c>
      <c r="I401" s="24" t="str">
        <f>IFERROR(__xludf.DUMMYFUNCTION("""COMPUTED_VALUE"""),"Lingüística Letras e Artes")</f>
        <v>Lingüística Letras e Artes</v>
      </c>
    </row>
    <row r="402">
      <c r="A402" s="24" t="str">
        <f>IFERROR(__xludf.DUMMYFUNCTION("""COMPUTED_VALUE"""),"Prêmio UFF de Literatura – Antologia de textos premiados – Poesia, Crônica, Conto")</f>
        <v>Prêmio UFF de Literatura – Antologia de textos premiados – Poesia, Crônica, Conto</v>
      </c>
      <c r="B402" s="24" t="str">
        <f>IFERROR(__xludf.DUMMYFUNCTION("""COMPUTED_VALUE"""),"Universidade Federal Fluminense/EdUFF")</f>
        <v>Universidade Federal Fluminense/EdUFF</v>
      </c>
      <c r="C402" s="24" t="str">
        <f>IFERROR(__xludf.DUMMYFUNCTION("""COMPUTED_VALUE"""),"Niterói, RJ")</f>
        <v>Niterói, RJ</v>
      </c>
      <c r="D402" s="24" t="str">
        <f>IFERROR(__xludf.DUMMYFUNCTION("""COMPUTED_VALUE"""),"EDUFF")</f>
        <v>EDUFF</v>
      </c>
      <c r="E402" s="25">
        <f>IFERROR(__xludf.DUMMYFUNCTION("""COMPUTED_VALUE"""),2008.0)</f>
        <v>2008</v>
      </c>
      <c r="F402" s="24" t="str">
        <f>IFERROR(__xludf.DUMMYFUNCTION("""COMPUTED_VALUE"""),"Literatura; Antologia; Poesia, Conto, Crônica")</f>
        <v>Literatura; Antologia; Poesia, Conto, Crônica</v>
      </c>
      <c r="G402" s="28" t="str">
        <f>IFERROR(__xludf.DUMMYFUNCTION("""COMPUTED_VALUE"""),"9788522804962")</f>
        <v>9788522804962</v>
      </c>
      <c r="H402" s="29" t="str">
        <f>IFERROR(__xludf.DUMMYFUNCTION("""COMPUTED_VALUE"""),"http://www.eduff.uff.br/ebooks/Premio-UFF-de-Literatura-2008.pdf")</f>
        <v>http://www.eduff.uff.br/ebooks/Premio-UFF-de-Literatura-2008.pdf</v>
      </c>
      <c r="I402" s="24" t="str">
        <f>IFERROR(__xludf.DUMMYFUNCTION("""COMPUTED_VALUE"""),"Lingüística Letras e Artes")</f>
        <v>Lingüística Letras e Artes</v>
      </c>
    </row>
    <row r="403">
      <c r="A403" s="24" t="str">
        <f>IFERROR(__xludf.DUMMYFUNCTION("""COMPUTED_VALUE"""),"Prêmio UFF de Literatura – Antologia de textos premiados – Poesia, Crônica, Conto")</f>
        <v>Prêmio UFF de Literatura – Antologia de textos premiados – Poesia, Crônica, Conto</v>
      </c>
      <c r="B403" s="24" t="str">
        <f>IFERROR(__xludf.DUMMYFUNCTION("""COMPUTED_VALUE"""),"Universidade Federal Fluminense/EdUFF")</f>
        <v>Universidade Federal Fluminense/EdUFF</v>
      </c>
      <c r="C403" s="24" t="str">
        <f>IFERROR(__xludf.DUMMYFUNCTION("""COMPUTED_VALUE"""),"Niterói, RJ")</f>
        <v>Niterói, RJ</v>
      </c>
      <c r="D403" s="24" t="str">
        <f>IFERROR(__xludf.DUMMYFUNCTION("""COMPUTED_VALUE"""),"EDUFF")</f>
        <v>EDUFF</v>
      </c>
      <c r="E403" s="25">
        <f>IFERROR(__xludf.DUMMYFUNCTION("""COMPUTED_VALUE"""),2007.0)</f>
        <v>2007</v>
      </c>
      <c r="F403" s="24" t="str">
        <f>IFERROR(__xludf.DUMMYFUNCTION("""COMPUTED_VALUE"""),"Literatura; Antologia; Poesia, Conto, Crônica")</f>
        <v>Literatura; Antologia; Poesia, Conto, Crônica</v>
      </c>
      <c r="G403" s="26"/>
      <c r="H403" s="29" t="str">
        <f>IFERROR(__xludf.DUMMYFUNCTION("""COMPUTED_VALUE"""),"http://www.eduff.uff.br/ebooks/Premio-UFF-de-Literatura-2007.pdf")</f>
        <v>http://www.eduff.uff.br/ebooks/Premio-UFF-de-Literatura-2007.pdf</v>
      </c>
      <c r="I403" s="24" t="str">
        <f>IFERROR(__xludf.DUMMYFUNCTION("""COMPUTED_VALUE"""),"Lingüística Letras e Artes")</f>
        <v>Lingüística Letras e Artes</v>
      </c>
    </row>
    <row r="404">
      <c r="A404" s="24" t="str">
        <f>IFERROR(__xludf.DUMMYFUNCTION("""COMPUTED_VALUE"""),"Prêmio UFF de Literatura 2012: O contador de histórias ")</f>
        <v>Prêmio UFF de Literatura 2012: O contador de histórias </v>
      </c>
      <c r="B404" s="24" t="str">
        <f>IFERROR(__xludf.DUMMYFUNCTION("""COMPUTED_VALUE"""),"Universidade Federal Fluminense, Editora da UFF (org.)")</f>
        <v>Universidade Federal Fluminense, Editora da UFF (org.)</v>
      </c>
      <c r="C404" s="24" t="str">
        <f>IFERROR(__xludf.DUMMYFUNCTION("""COMPUTED_VALUE"""),"Niterói, RJ")</f>
        <v>Niterói, RJ</v>
      </c>
      <c r="D404" s="24" t="str">
        <f>IFERROR(__xludf.DUMMYFUNCTION("""COMPUTED_VALUE"""),"Editora da UFF")</f>
        <v>Editora da UFF</v>
      </c>
      <c r="E404" s="25">
        <f>IFERROR(__xludf.DUMMYFUNCTION("""COMPUTED_VALUE"""),2012.0)</f>
        <v>2012</v>
      </c>
      <c r="F404" s="24" t="str">
        <f>IFERROR(__xludf.DUMMYFUNCTION("""COMPUTED_VALUE"""),"Literatura Brasileira; Antologia")</f>
        <v>Literatura Brasileira; Antologia</v>
      </c>
      <c r="G404" s="28" t="str">
        <f>IFERROR(__xludf.DUMMYFUNCTION("""COMPUTED_VALUE"""),"9788522808540")</f>
        <v>9788522808540</v>
      </c>
      <c r="H404" s="29" t="str">
        <f>IFERROR(__xludf.DUMMYFUNCTION("""COMPUTED_VALUE"""),"http://bit.ly/Premio-UFF-de-Literatura-2012")</f>
        <v>http://bit.ly/Premio-UFF-de-Literatura-2012</v>
      </c>
      <c r="I404" s="24" t="str">
        <f>IFERROR(__xludf.DUMMYFUNCTION("""COMPUTED_VALUE"""),"Lingüística Letras e Artes")</f>
        <v>Lingüística Letras e Artes</v>
      </c>
    </row>
    <row r="405">
      <c r="A405" s="24" t="str">
        <f>IFERROR(__xludf.DUMMYFUNCTION("""COMPUTED_VALUE"""),"Processo de Escrita e Reescrita de textos: análise dos operadores linguísticos e dos articuladores textuais.")</f>
        <v>Processo de Escrita e Reescrita de textos: análise dos operadores linguísticos e dos articuladores textuais.</v>
      </c>
      <c r="B405" s="24" t="str">
        <f>IFERROR(__xludf.DUMMYFUNCTION("""COMPUTED_VALUE"""),"Maria Vilani Soares, Débora Maria do Nascimento Bezerra, Rosângela Gomes da Silva Araújo, Marília Pereira Lima.")</f>
        <v>Maria Vilani Soares, Débora Maria do Nascimento Bezerra, Rosângela Gomes da Silva Araújo, Marília Pereira Lima.</v>
      </c>
      <c r="C405" s="24" t="str">
        <f>IFERROR(__xludf.DUMMYFUNCTION("""COMPUTED_VALUE"""),"Teresina")</f>
        <v>Teresina</v>
      </c>
      <c r="D405" s="24" t="str">
        <f>IFERROR(__xludf.DUMMYFUNCTION("""COMPUTED_VALUE"""),"EDUFPI")</f>
        <v>EDUFPI</v>
      </c>
      <c r="E405" s="25">
        <f>IFERROR(__xludf.DUMMYFUNCTION("""COMPUTED_VALUE"""),2017.0)</f>
        <v>2017</v>
      </c>
      <c r="F405" s="24" t="str">
        <f>IFERROR(__xludf.DUMMYFUNCTION("""COMPUTED_VALUE"""),"Ensino; Linguística de texto; Linguística cognitiva")</f>
        <v>Ensino; Linguística de texto; Linguística cognitiva</v>
      </c>
      <c r="G405" s="28" t="str">
        <f>IFERROR(__xludf.DUMMYFUNCTION("""COMPUTED_VALUE"""),"9788550902739")</f>
        <v>9788550902739</v>
      </c>
      <c r="H405" s="29" t="str">
        <f>IFERROR(__xludf.DUMMYFUNCTION("""COMPUTED_VALUE"""),"https://www.ufpi.br/arquivos_download/arquivos/EDUFPI/LIVRO_VILANI_E-BOOK_EDUFPI_120181030152119.pdf")</f>
        <v>https://www.ufpi.br/arquivos_download/arquivos/EDUFPI/LIVRO_VILANI_E-BOOK_EDUFPI_120181030152119.pdf</v>
      </c>
      <c r="I405" s="24" t="str">
        <f>IFERROR(__xludf.DUMMYFUNCTION("""COMPUTED_VALUE"""),"Lingüística Letras e Artes")</f>
        <v>Lingüística Letras e Artes</v>
      </c>
    </row>
    <row r="406">
      <c r="A406" s="24" t="str">
        <f>IFERROR(__xludf.DUMMYFUNCTION("""COMPUTED_VALUE"""),"Profecias morenas: discurso do eu e da pátria em Antonio Vieira")</f>
        <v>Profecias morenas: discurso do eu e da pátria em Antonio Vieira</v>
      </c>
      <c r="B406" s="24" t="str">
        <f>IFERROR(__xludf.DUMMYFUNCTION("""COMPUTED_VALUE"""),"Jorge de Souza Araújo")</f>
        <v>Jorge de Souza Araújo</v>
      </c>
      <c r="C406" s="24" t="str">
        <f>IFERROR(__xludf.DUMMYFUNCTION("""COMPUTED_VALUE"""),"Ilhéus, BA")</f>
        <v>Ilhéus, BA</v>
      </c>
      <c r="D406" s="24" t="str">
        <f>IFERROR(__xludf.DUMMYFUNCTION("""COMPUTED_VALUE"""),"Editus")</f>
        <v>Editus</v>
      </c>
      <c r="E406" s="25">
        <f>IFERROR(__xludf.DUMMYFUNCTION("""COMPUTED_VALUE"""),2014.0)</f>
        <v>2014</v>
      </c>
      <c r="F406" s="24" t="str">
        <f>IFERROR(__xludf.DUMMYFUNCTION("""COMPUTED_VALUE"""),"Vieira, Antonio, 1608-1697 – Crítica e interpretação; Vieira, Antonio, 1608-1697 – Sermões; Língua portuguesa – Século XVII; Ensaios")</f>
        <v>Vieira, Antonio, 1608-1697 – Crítica e interpretação; Vieira, Antonio, 1608-1697 – Sermões; Língua portuguesa – Século XVII; Ensaios</v>
      </c>
      <c r="G406" s="28" t="str">
        <f>IFERROR(__xludf.DUMMYFUNCTION("""COMPUTED_VALUE"""),"9788574553535")</f>
        <v>9788574553535</v>
      </c>
      <c r="H406" s="29" t="str">
        <f>IFERROR(__xludf.DUMMYFUNCTION("""COMPUTED_VALUE"""),"http://www.uesc.br/editora/livrosdigitais2016/profecias_morenas.pdf")</f>
        <v>http://www.uesc.br/editora/livrosdigitais2016/profecias_morenas.pdf</v>
      </c>
      <c r="I406" s="24" t="str">
        <f>IFERROR(__xludf.DUMMYFUNCTION("""COMPUTED_VALUE"""),"Lingüística Letras e Artes")</f>
        <v>Lingüística Letras e Artes</v>
      </c>
    </row>
    <row r="407">
      <c r="A407" s="24" t="str">
        <f>IFERROR(__xludf.DUMMYFUNCTION("""COMPUTED_VALUE"""),"Projeto Os Brinquedos Mágicos apresenta: O sumiço de fantasia")</f>
        <v>Projeto Os Brinquedos Mágicos apresenta: O sumiço de fantasia</v>
      </c>
      <c r="B407" s="24" t="str">
        <f>IFERROR(__xludf.DUMMYFUNCTION("""COMPUTED_VALUE"""),"Michele de Mendonça Leite")</f>
        <v>Michele de Mendonça Leite</v>
      </c>
      <c r="C407" s="24" t="str">
        <f>IFERROR(__xludf.DUMMYFUNCTION("""COMPUTED_VALUE"""),"Ilhéus, BA")</f>
        <v>Ilhéus, BA</v>
      </c>
      <c r="D407" s="24" t="str">
        <f>IFERROR(__xludf.DUMMYFUNCTION("""COMPUTED_VALUE"""),"Editus")</f>
        <v>Editus</v>
      </c>
      <c r="E407" s="25">
        <f>IFERROR(__xludf.DUMMYFUNCTION("""COMPUTED_VALUE"""),2009.0)</f>
        <v>2009</v>
      </c>
      <c r="F407" s="24"/>
      <c r="G407" s="26"/>
      <c r="H407" s="29" t="str">
        <f>IFERROR(__xludf.DUMMYFUNCTION("""COMPUTED_VALUE"""),"http://www.uesc.br/editora/livrosdigitais2015/o_sumico_fantasia.pdf")</f>
        <v>http://www.uesc.br/editora/livrosdigitais2015/o_sumico_fantasia.pdf</v>
      </c>
      <c r="I407" s="24" t="str">
        <f>IFERROR(__xludf.DUMMYFUNCTION("""COMPUTED_VALUE"""),"Lingüística Letras e Artes")</f>
        <v>Lingüística Letras e Artes</v>
      </c>
    </row>
    <row r="408">
      <c r="A408" s="24" t="str">
        <f>IFERROR(__xludf.DUMMYFUNCTION("""COMPUTED_VALUE"""),"Projetos e Práticas na Formação de Professores de Língua Inglesa")</f>
        <v>Projetos e Práticas na Formação de Professores de Língua Inglesa</v>
      </c>
      <c r="B408" s="24" t="str">
        <f>IFERROR(__xludf.DUMMYFUNCTION("""COMPUTED_VALUE"""),"Betania Pessos, Carla Lynn Reichmann.")</f>
        <v>Betania Pessos, Carla Lynn Reichmann.</v>
      </c>
      <c r="C408" s="24" t="str">
        <f>IFERROR(__xludf.DUMMYFUNCTION("""COMPUTED_VALUE"""),"João Pessoa")</f>
        <v>João Pessoa</v>
      </c>
      <c r="D408" s="24" t="str">
        <f>IFERROR(__xludf.DUMMYFUNCTION("""COMPUTED_VALUE"""),"Editora da UFPB")</f>
        <v>Editora da UFPB</v>
      </c>
      <c r="E408" s="25">
        <f>IFERROR(__xludf.DUMMYFUNCTION("""COMPUTED_VALUE"""),2017.0)</f>
        <v>2017</v>
      </c>
      <c r="F408" s="24" t="str">
        <f>IFERROR(__xludf.DUMMYFUNCTION("""COMPUTED_VALUE"""),"O conjunto de textos reunidos neste volume está voltado para o tema da formação de professores de Língua Inglesa; o interesse em reunir trabalhos de diversos pesquisadores dessa temática surgiu de um grupo de trabalho da Associação Brasileira de Po"&amp;"́s-graduação em Letras e Linguística (ANPOLL), o subgrupo de trabalho (SubGT) Formação de Professores/ Linguística Aplicada, em atividade desde 2000. Apesar do curto período de atuação do grupo, é evidente, por um lado, a afinidade de metas, obj"&amp;"etos e objetivos de pesquisa dessa comunidade científica e, por outro, sua produtividade, da qual este volume é exemplo")</f>
        <v>O conjunto de textos reunidos neste volume está voltado para o tema da formação de professores de Língua Inglesa; o interesse em reunir trabalhos de diversos pesquisadores dessa temática surgiu de um grupo de trabalho da Associação Brasileira de Pós-graduação em Letras e Linguística (ANPOLL), o subgrupo de trabalho (SubGT) Formação de Professores/ Linguística Aplicada, em atividade desde 2000. Apesar do curto período de atuação do grupo, é evidente, por um lado, a afinidade de metas, objetos e objetivos de pesquisa dessa comunidade científica e, por outro, sua produtividade, da qual este volume é exemplo</v>
      </c>
      <c r="G408" s="28" t="str">
        <f>IFERROR(__xludf.DUMMYFUNCTION("""COMPUTED_VALUE"""),"9788523705664")</f>
        <v>9788523705664</v>
      </c>
      <c r="H408" s="29" t="str">
        <f>IFERROR(__xludf.DUMMYFUNCTION("""COMPUTED_VALUE"""),"http://www.editora.ufpb.br/sistema/press5/index.php/UFPB/catalog/book/105")</f>
        <v>http://www.editora.ufpb.br/sistema/press5/index.php/UFPB/catalog/book/105</v>
      </c>
      <c r="I408" s="24" t="str">
        <f>IFERROR(__xludf.DUMMYFUNCTION("""COMPUTED_VALUE"""),"Lingüística Letras e Artes")</f>
        <v>Lingüística Letras e Artes</v>
      </c>
    </row>
    <row r="409">
      <c r="A409" s="24" t="str">
        <f>IFERROR(__xludf.DUMMYFUNCTION("""COMPUTED_VALUE"""),"Propagandas e campanhas publicitárias em cartazes: uma proposta de leitura e produção textual")</f>
        <v>Propagandas e campanhas publicitárias em cartazes: uma proposta de leitura e produção textual</v>
      </c>
      <c r="B409" s="24" t="str">
        <f>IFERROR(__xludf.DUMMYFUNCTION("""COMPUTED_VALUE"""),"Elisangela Dias Saboia")</f>
        <v>Elisangela Dias Saboia</v>
      </c>
      <c r="C409" s="24" t="str">
        <f>IFERROR(__xludf.DUMMYFUNCTION("""COMPUTED_VALUE"""),"Cáceres")</f>
        <v>Cáceres</v>
      </c>
      <c r="D409" s="24" t="str">
        <f>IFERROR(__xludf.DUMMYFUNCTION("""COMPUTED_VALUE"""),"UNEMAT")</f>
        <v>UNEMAT</v>
      </c>
      <c r="E409" s="25">
        <f>IFERROR(__xludf.DUMMYFUNCTION("""COMPUTED_VALUE"""),2016.0)</f>
        <v>2016</v>
      </c>
      <c r="F409" s="24" t="str">
        <f>IFERROR(__xludf.DUMMYFUNCTION("""COMPUTED_VALUE"""),"Letramento Educacional; Educação; Gênero Discursivo; Propaganda Publicitária - Análise de Discurso")</f>
        <v>Letramento Educacional; Educação; Gênero Discursivo; Propaganda Publicitária - Análise de Discurso</v>
      </c>
      <c r="G409" s="28" t="str">
        <f>IFERROR(__xludf.DUMMYFUNCTION("""COMPUTED_VALUE"""),"9788579111594")</f>
        <v>9788579111594</v>
      </c>
      <c r="H409" s="29" t="str">
        <f>IFERROR(__xludf.DUMMYFUNCTION("""COMPUTED_VALUE"""),"http://www.unemat.br/reitoria/editora/downloads/eletronico/propagandas_e_campanhas_publicitarias_em_cartazes_saboia_e_book.pdf")</f>
        <v>http://www.unemat.br/reitoria/editora/downloads/eletronico/propagandas_e_campanhas_publicitarias_em_cartazes_saboia_e_book.pdf</v>
      </c>
      <c r="I409" s="24" t="str">
        <f>IFERROR(__xludf.DUMMYFUNCTION("""COMPUTED_VALUE"""),"Lingüística Letras e Artes")</f>
        <v>Lingüística Letras e Artes</v>
      </c>
    </row>
    <row r="410">
      <c r="A410" s="24" t="str">
        <f>IFERROR(__xludf.DUMMYFUNCTION("""COMPUTED_VALUE"""),"Prosa sobre prosa: Machado de Assis, Guimarães Rosa, Reinaldo Santos Neves e outras ficções")</f>
        <v>Prosa sobre prosa: Machado de Assis, Guimarães Rosa, Reinaldo Santos Neves e outras ficções</v>
      </c>
      <c r="B410" s="24" t="str">
        <f>IFERROR(__xludf.DUMMYFUNCTION("""COMPUTED_VALUE"""),"Wilberth Claython Ferreira Salgueiro")</f>
        <v>Wilberth Claython Ferreira Salgueiro</v>
      </c>
      <c r="C410" s="24" t="str">
        <f>IFERROR(__xludf.DUMMYFUNCTION("""COMPUTED_VALUE"""),"Vitória")</f>
        <v>Vitória</v>
      </c>
      <c r="D410" s="24" t="str">
        <f>IFERROR(__xludf.DUMMYFUNCTION("""COMPUTED_VALUE"""),"EDUFES")</f>
        <v>EDUFES</v>
      </c>
      <c r="E410" s="25">
        <f>IFERROR(__xludf.DUMMYFUNCTION("""COMPUTED_VALUE"""),2013.0)</f>
        <v>2013</v>
      </c>
      <c r="F410" s="24" t="str">
        <f>IFERROR(__xludf.DUMMYFUNCTION("""COMPUTED_VALUE"""),"Machado de Assis; João Guimarães Rosa; Reinaldo Santos Neves; Literatura brasileira; História e crítica")</f>
        <v>Machado de Assis; João Guimarães Rosa; Reinaldo Santos Neves; Literatura brasileira; História e crítica</v>
      </c>
      <c r="G410" s="28" t="str">
        <f>IFERROR(__xludf.DUMMYFUNCTION("""COMPUTED_VALUE"""),"9788577721573")</f>
        <v>9788577721573</v>
      </c>
      <c r="H410" s="29" t="str">
        <f>IFERROR(__xludf.DUMMYFUNCTION("""COMPUTED_VALUE"""),"http://repositorio.ufes.br/bitstream/10/862/1/Livro%20Prosa%20sobre%20prosa%20%3A%20Machado%20de%20Assis%2C%20Guimar%C3%A3es%20Rosa%2C%20Reinaldo%20Santos%20Neves%20e%20outras%20fic%C3%A7%C3%B5es%20Edufes.pdf")</f>
        <v>http://repositorio.ufes.br/bitstream/10/862/1/Livro%20Prosa%20sobre%20prosa%20%3A%20Machado%20de%20Assis%2C%20Guimar%C3%A3es%20Rosa%2C%20Reinaldo%20Santos%20Neves%20e%20outras%20fic%C3%A7%C3%B5es%20Edufes.pdf</v>
      </c>
      <c r="I410" s="24" t="str">
        <f>IFERROR(__xludf.DUMMYFUNCTION("""COMPUTED_VALUE"""),"Lingüística Letras e Artes")</f>
        <v>Lingüística Letras e Artes</v>
      </c>
    </row>
    <row r="411">
      <c r="A411" s="24" t="str">
        <f>IFERROR(__xludf.DUMMYFUNCTION("""COMPUTED_VALUE"""),"QC Quadrinhus no Campus")</f>
        <v>QC Quadrinhus no Campus</v>
      </c>
      <c r="B411" s="24" t="str">
        <f>IFERROR(__xludf.DUMMYFUNCTION("""COMPUTED_VALUE"""),"Honorato, Sérgio; Cichela, Alan")</f>
        <v>Honorato, Sérgio; Cichela, Alan</v>
      </c>
      <c r="C411" s="24" t="str">
        <f>IFERROR(__xludf.DUMMYFUNCTION("""COMPUTED_VALUE"""),"Criciúma")</f>
        <v>Criciúma</v>
      </c>
      <c r="D411" s="24" t="str">
        <f>IFERROR(__xludf.DUMMYFUNCTION("""COMPUTED_VALUE"""),"Ediunesc")</f>
        <v>Ediunesc</v>
      </c>
      <c r="E411" s="25">
        <f>IFERROR(__xludf.DUMMYFUNCTION("""COMPUTED_VALUE"""),2016.0)</f>
        <v>2016</v>
      </c>
      <c r="F411" s="24" t="str">
        <f>IFERROR(__xludf.DUMMYFUNCTION("""COMPUTED_VALUE"""),"História em quadrinhos; Texto em quadrinhos; Arte visual - História em quadrinhos")</f>
        <v>História em quadrinhos; Texto em quadrinhos; Arte visual - História em quadrinhos</v>
      </c>
      <c r="G411" s="28" t="str">
        <f>IFERROR(__xludf.DUMMYFUNCTION("""COMPUTED_VALUE"""),"9788584100439")</f>
        <v>9788584100439</v>
      </c>
      <c r="H411" s="29" t="str">
        <f>IFERROR(__xludf.DUMMYFUNCTION("""COMPUTED_VALUE"""),"http://repositorio.unesc.net/handle/1/3802")</f>
        <v>http://repositorio.unesc.net/handle/1/3802</v>
      </c>
      <c r="I411" s="24" t="str">
        <f>IFERROR(__xludf.DUMMYFUNCTION("""COMPUTED_VALUE"""),"Lingüística Letras e Artes")</f>
        <v>Lingüística Letras e Artes</v>
      </c>
    </row>
    <row r="412">
      <c r="A412" s="24" t="str">
        <f>IFERROR(__xludf.DUMMYFUNCTION("""COMPUTED_VALUE"""),"Qual é sua canção? Coletânea de Poemas")</f>
        <v>Qual é sua canção? Coletânea de Poemas</v>
      </c>
      <c r="B412" s="24" t="str">
        <f>IFERROR(__xludf.DUMMYFUNCTION("""COMPUTED_VALUE"""),"Elizete Beatriz Azambuja; Lucas Guilherme Borba; Maria Aurora Neta; Selma Eliana Silva Freire")</f>
        <v>Elizete Beatriz Azambuja; Lucas Guilherme Borba; Maria Aurora Neta; Selma Eliana Silva Freire</v>
      </c>
      <c r="C412" s="24" t="str">
        <f>IFERROR(__xludf.DUMMYFUNCTION("""COMPUTED_VALUE"""),"Anápolis")</f>
        <v>Anápolis</v>
      </c>
      <c r="D412" s="24" t="str">
        <f>IFERROR(__xludf.DUMMYFUNCTION("""COMPUTED_VALUE"""),"UEG")</f>
        <v>UEG</v>
      </c>
      <c r="E412" s="25">
        <f>IFERROR(__xludf.DUMMYFUNCTION("""COMPUTED_VALUE"""),2019.0)</f>
        <v>2019</v>
      </c>
      <c r="F412" s="24" t="str">
        <f>IFERROR(__xludf.DUMMYFUNCTION("""COMPUTED_VALUE"""),"Produção Textual; Poemas")</f>
        <v>Produção Textual; Poemas</v>
      </c>
      <c r="G412" s="28" t="str">
        <f>IFERROR(__xludf.DUMMYFUNCTION("""COMPUTED_VALUE"""),"9788555820731")</f>
        <v>9788555820731</v>
      </c>
      <c r="H412" s="29" t="str">
        <f>IFERROR(__xludf.DUMMYFUNCTION("""COMPUTED_VALUE"""),"http://cdn.ueg.edu.br/source/editora_ueg/conteudo_extensao/11279/ebook_qual_e_sua_cancao_ii_coletanea_poemas_2019.pdf")</f>
        <v>http://cdn.ueg.edu.br/source/editora_ueg/conteudo_extensao/11279/ebook_qual_e_sua_cancao_ii_coletanea_poemas_2019.pdf</v>
      </c>
      <c r="I412" s="24" t="str">
        <f>IFERROR(__xludf.DUMMYFUNCTION("""COMPUTED_VALUE"""),"Lingüística Letras e Artes")</f>
        <v>Lingüística Letras e Artes</v>
      </c>
    </row>
    <row r="413">
      <c r="A413" s="24" t="str">
        <f>IFERROR(__xludf.DUMMYFUNCTION("""COMPUTED_VALUE"""),"Quando éramos todos vivos e alguns poemas")</f>
        <v>Quando éramos todos vivos e alguns poemas</v>
      </c>
      <c r="B413" s="24" t="str">
        <f>IFERROR(__xludf.DUMMYFUNCTION("""COMPUTED_VALUE"""),"Maria Conceição Monteiro")</f>
        <v>Maria Conceição Monteiro</v>
      </c>
      <c r="C413" s="24" t="str">
        <f>IFERROR(__xludf.DUMMYFUNCTION("""COMPUTED_VALUE"""),"Rio de Janeiro")</f>
        <v>Rio de Janeiro</v>
      </c>
      <c r="D413" s="24" t="str">
        <f>IFERROR(__xludf.DUMMYFUNCTION("""COMPUTED_VALUE"""),"Editora Caetés")</f>
        <v>Editora Caetés</v>
      </c>
      <c r="E413" s="25">
        <f>IFERROR(__xludf.DUMMYFUNCTION("""COMPUTED_VALUE"""),2019.0)</f>
        <v>2019</v>
      </c>
      <c r="F413" s="24" t="str">
        <f>IFERROR(__xludf.DUMMYFUNCTION("""COMPUTED_VALUE"""),"Poesia brasileira; Ficção brasileira; Poesia")</f>
        <v>Poesia brasileira; Ficção brasileira; Poesia</v>
      </c>
      <c r="G413" s="28" t="str">
        <f>IFERROR(__xludf.DUMMYFUNCTION("""COMPUTED_VALUE"""),"9788595510036")</f>
        <v>9788595510036</v>
      </c>
      <c r="H413" s="29" t="str">
        <f>IFERROR(__xludf.DUMMYFUNCTION("""COMPUTED_VALUE"""),"https://www.eduerj.com/eng/?product=quando-eramos-todos-vivos-e-alguns-poemas")</f>
        <v>https://www.eduerj.com/eng/?product=quando-eramos-todos-vivos-e-alguns-poemas</v>
      </c>
      <c r="I413" s="24" t="str">
        <f>IFERROR(__xludf.DUMMYFUNCTION("""COMPUTED_VALUE"""),"Lingüística Letras e Artes")</f>
        <v>Lingüística Letras e Artes</v>
      </c>
    </row>
    <row r="414">
      <c r="A414" s="24" t="str">
        <f>IFERROR(__xludf.DUMMYFUNCTION("""COMPUTED_VALUE"""),"Quando não somos mais (II Prêmio UFES de Literatura)")</f>
        <v>Quando não somos mais (II Prêmio UFES de Literatura)</v>
      </c>
      <c r="B414" s="24" t="str">
        <f>IFERROR(__xludf.DUMMYFUNCTION("""COMPUTED_VALUE"""),"Vanessa Maranha")</f>
        <v>Vanessa Maranha</v>
      </c>
      <c r="C414" s="24" t="str">
        <f>IFERROR(__xludf.DUMMYFUNCTION("""COMPUTED_VALUE"""),"Vitória")</f>
        <v>Vitória</v>
      </c>
      <c r="D414" s="24" t="str">
        <f>IFERROR(__xludf.DUMMYFUNCTION("""COMPUTED_VALUE"""),"EDUFES")</f>
        <v>EDUFES</v>
      </c>
      <c r="E414" s="25">
        <f>IFERROR(__xludf.DUMMYFUNCTION("""COMPUTED_VALUE"""),2015.0)</f>
        <v>2015</v>
      </c>
      <c r="F414" s="24" t="str">
        <f>IFERROR(__xludf.DUMMYFUNCTION("""COMPUTED_VALUE"""),"Contos brasileiros; Crônicas brasileiras; Literatura")</f>
        <v>Contos brasileiros; Crônicas brasileiras; Literatura</v>
      </c>
      <c r="G414" s="28" t="str">
        <f>IFERROR(__xludf.DUMMYFUNCTION("""COMPUTED_VALUE"""),"9788577722969")</f>
        <v>9788577722969</v>
      </c>
      <c r="H414" s="29" t="str">
        <f>IFERROR(__xludf.DUMMYFUNCTION("""COMPUTED_VALUE"""),"http://repositorio.ufes.br/bitstream/10/1507/1/Quando%20n%C3%A3o%20somos%20mais.pdf")</f>
        <v>http://repositorio.ufes.br/bitstream/10/1507/1/Quando%20n%C3%A3o%20somos%20mais.pdf</v>
      </c>
      <c r="I414" s="24" t="str">
        <f>IFERROR(__xludf.DUMMYFUNCTION("""COMPUTED_VALUE"""),"Lingüística Letras e Artes")</f>
        <v>Lingüística Letras e Artes</v>
      </c>
    </row>
    <row r="415">
      <c r="A415" s="24" t="str">
        <f>IFERROR(__xludf.DUMMYFUNCTION("""COMPUTED_VALUE"""),"Reflexões didáticas sobre o ensino de língua estrangeira na atualidade")</f>
        <v>Reflexões didáticas sobre o ensino de língua estrangeira na atualidade</v>
      </c>
      <c r="B415" s="24" t="str">
        <f>IFERROR(__xludf.DUMMYFUNCTION("""COMPUTED_VALUE"""),"organizadores Jamylle Rebouças Ouverney-King e José Moacir Soares da Costa Filho")</f>
        <v>organizadores Jamylle Rebouças Ouverney-King e José Moacir Soares da Costa Filho</v>
      </c>
      <c r="C415" s="24" t="str">
        <f>IFERROR(__xludf.DUMMYFUNCTION("""COMPUTED_VALUE"""),"João Pessoa")</f>
        <v>João Pessoa</v>
      </c>
      <c r="D415" s="24" t="str">
        <f>IFERROR(__xludf.DUMMYFUNCTION("""COMPUTED_VALUE"""),"Editora IFPB")</f>
        <v>Editora IFPB</v>
      </c>
      <c r="E415" s="25">
        <f>IFERROR(__xludf.DUMMYFUNCTION("""COMPUTED_VALUE"""),2015.0)</f>
        <v>2015</v>
      </c>
      <c r="F415" s="24" t="str">
        <f>IFERROR(__xludf.DUMMYFUNCTION("""COMPUTED_VALUE"""),"Ensino da língua estrangeira; Língua inglesa; Processo de ensino-aprendizagem; Didática do ensino")</f>
        <v>Ensino da língua estrangeira; Língua inglesa; Processo de ensino-aprendizagem; Didática do ensino</v>
      </c>
      <c r="G415" s="28" t="str">
        <f>IFERROR(__xludf.DUMMYFUNCTION("""COMPUTED_VALUE"""),"9788563406583")</f>
        <v>9788563406583</v>
      </c>
      <c r="H415" s="29" t="str">
        <f>IFERROR(__xludf.DUMMYFUNCTION("""COMPUTED_VALUE"""),"http://editora.ifpb.edu.br/index.php/ifpb/catalog/book/3")</f>
        <v>http://editora.ifpb.edu.br/index.php/ifpb/catalog/book/3</v>
      </c>
      <c r="I415" s="24" t="str">
        <f>IFERROR(__xludf.DUMMYFUNCTION("""COMPUTED_VALUE"""),"Lingüística Letras e Artes")</f>
        <v>Lingüística Letras e Artes</v>
      </c>
    </row>
    <row r="416">
      <c r="A416" s="24" t="str">
        <f>IFERROR(__xludf.DUMMYFUNCTION("""COMPUTED_VALUE"""),"Reflexões Sobre O Ensino-aprendizagem De Línguas Estrangeiras")</f>
        <v>Reflexões Sobre O Ensino-aprendizagem De Línguas Estrangeiras</v>
      </c>
      <c r="B416" s="24" t="str">
        <f>IFERROR(__xludf.DUMMYFUNCTION("""COMPUTED_VALUE"""),"Daniela Gomes de Araújo Nóbrega; Karyne Soares Duarte Silveira (org.)")</f>
        <v>Daniela Gomes de Araújo Nóbrega; Karyne Soares Duarte Silveira (org.)</v>
      </c>
      <c r="C416" s="24" t="str">
        <f>IFERROR(__xludf.DUMMYFUNCTION("""COMPUTED_VALUE"""),"Campina Grande")</f>
        <v>Campina Grande</v>
      </c>
      <c r="D416" s="24" t="str">
        <f>IFERROR(__xludf.DUMMYFUNCTION("""COMPUTED_VALUE"""),"EDUEPB")</f>
        <v>EDUEPB</v>
      </c>
      <c r="E416" s="25">
        <f>IFERROR(__xludf.DUMMYFUNCTION("""COMPUTED_VALUE"""),2016.0)</f>
        <v>2016</v>
      </c>
      <c r="F416" s="24" t="str">
        <f>IFERROR(__xludf.DUMMYFUNCTION("""COMPUTED_VALUE"""),"Línguas estrangeiras. Português. Língua materna. Inglês. Transferência fonológica ")</f>
        <v>Línguas estrangeiras. Português. Língua materna. Inglês. Transferência fonológica </v>
      </c>
      <c r="G416" s="28" t="str">
        <f>IFERROR(__xludf.DUMMYFUNCTION("""COMPUTED_VALUE"""),"9788578793173")</f>
        <v>9788578793173</v>
      </c>
      <c r="H416" s="29" t="str">
        <f>IFERROR(__xludf.DUMMYFUNCTION("""COMPUTED_VALUE"""),"http://eduepb.uepb.edu.br/download/reflexo%cc%83es-sobre-o-ensino-aprendizagem-de-linguas-estrangeiras/?wpdmdl=217&amp;amp;masterkey=5af9a0fd6eef6")</f>
        <v>http://eduepb.uepb.edu.br/download/reflexo%cc%83es-sobre-o-ensino-aprendizagem-de-linguas-estrangeiras/?wpdmdl=217&amp;amp;masterkey=5af9a0fd6eef6</v>
      </c>
      <c r="I416" s="24" t="str">
        <f>IFERROR(__xludf.DUMMYFUNCTION("""COMPUTED_VALUE"""),"Lingüística Letras e Artes")</f>
        <v>Lingüística Letras e Artes</v>
      </c>
    </row>
    <row r="417">
      <c r="A417" s="24" t="str">
        <f>IFERROR(__xludf.DUMMYFUNCTION("""COMPUTED_VALUE"""),"Reflexões, perspectivas e práticas no estágio supervisionado em letras ")</f>
        <v>Reflexões, perspectivas e práticas no estágio supervisionado em letras </v>
      </c>
      <c r="B417" s="24" t="str">
        <f>IFERROR(__xludf.DUMMYFUNCTION("""COMPUTED_VALUE"""),"Organizadora: Madalena Machado")</f>
        <v>Organizadora: Madalena Machado</v>
      </c>
      <c r="C417" s="24" t="str">
        <f>IFERROR(__xludf.DUMMYFUNCTION("""COMPUTED_VALUE"""),"Cáceres")</f>
        <v>Cáceres</v>
      </c>
      <c r="D417" s="24" t="str">
        <f>IFERROR(__xludf.DUMMYFUNCTION("""COMPUTED_VALUE"""),"UNEMAT")</f>
        <v>UNEMAT</v>
      </c>
      <c r="E417" s="25">
        <f>IFERROR(__xludf.DUMMYFUNCTION("""COMPUTED_VALUE"""),2018.0)</f>
        <v>2018</v>
      </c>
      <c r="F417" s="24" t="str">
        <f>IFERROR(__xludf.DUMMYFUNCTION("""COMPUTED_VALUE"""),"Estágio supervisionado; Letras")</f>
        <v>Estágio supervisionado; Letras</v>
      </c>
      <c r="G417" s="28" t="str">
        <f>IFERROR(__xludf.DUMMYFUNCTION("""COMPUTED_VALUE"""),"9788579111815")</f>
        <v>9788579111815</v>
      </c>
      <c r="H417" s="29" t="str">
        <f>IFERROR(__xludf.DUMMYFUNCTION("""COMPUTED_VALUE"""),"http://portal.unemat.br/media/files/Editora/Livro_SIEPES%20(3)%20(1).pdf")</f>
        <v>http://portal.unemat.br/media/files/Editora/Livro_SIEPES%20(3)%20(1).pdf</v>
      </c>
      <c r="I417" s="24" t="str">
        <f>IFERROR(__xludf.DUMMYFUNCTION("""COMPUTED_VALUE"""),"Lingüística Letras e Artes")</f>
        <v>Lingüística Letras e Artes</v>
      </c>
    </row>
    <row r="418">
      <c r="A418" s="24" t="str">
        <f>IFERROR(__xludf.DUMMYFUNCTION("""COMPUTED_VALUE"""),"Reinvenções da narrativa: ensaios de história e crítica literária")</f>
        <v>Reinvenções da narrativa: ensaios de história e crítica literária</v>
      </c>
      <c r="B418" s="24" t="str">
        <f>IFERROR(__xludf.DUMMYFUNCTION("""COMPUTED_VALUE"""),"organizadores; Felipe Charbel; João de Azevedo e Dias Duarte; Kelvin Falcão Klein; Luiza Larangeira da Silva Mello")</f>
        <v>organizadores; Felipe Charbel; João de Azevedo e Dias Duarte; Kelvin Falcão Klein; Luiza Larangeira da Silva Mello</v>
      </c>
      <c r="C418" s="24" t="str">
        <f>IFERROR(__xludf.DUMMYFUNCTION("""COMPUTED_VALUE"""),"Rio de Janeiro")</f>
        <v>Rio de Janeiro</v>
      </c>
      <c r="D418" s="24" t="str">
        <f>IFERROR(__xludf.DUMMYFUNCTION("""COMPUTED_VALUE"""),"Editora PUC Rio")</f>
        <v>Editora PUC Rio</v>
      </c>
      <c r="E418" s="25">
        <f>IFERROR(__xludf.DUMMYFUNCTION("""COMPUTED_VALUE"""),2019.0)</f>
        <v>2019</v>
      </c>
      <c r="F418" s="24" t="str">
        <f>IFERROR(__xludf.DUMMYFUNCTION("""COMPUTED_VALUE"""),"Narrativa. Interdisciplinar")</f>
        <v>Narrativa. Interdisciplinar</v>
      </c>
      <c r="G418" s="28" t="str">
        <f>IFERROR(__xludf.DUMMYFUNCTION("""COMPUTED_VALUE"""),"9788580062823")</f>
        <v>9788580062823</v>
      </c>
      <c r="H418" s="29" t="str">
        <f>IFERROR(__xludf.DUMMYFUNCTION("""COMPUTED_VALUE"""),"http://www.editora.puc-rio.br/media/Reinvencoes%20da%20narrativa.pdf")</f>
        <v>http://www.editora.puc-rio.br/media/Reinvencoes%20da%20narrativa.pdf</v>
      </c>
      <c r="I418" s="24" t="str">
        <f>IFERROR(__xludf.DUMMYFUNCTION("""COMPUTED_VALUE"""),"Lingüística Letras e Artes")</f>
        <v>Lingüística Letras e Artes</v>
      </c>
    </row>
    <row r="419">
      <c r="A419" s="24" t="str">
        <f>IFERROR(__xludf.DUMMYFUNCTION("""COMPUTED_VALUE"""),"Relexões literárias e transformação social: crônicas, contos e poesias")</f>
        <v>Relexões literárias e transformação social: crônicas, contos e poesias</v>
      </c>
      <c r="B419" s="24" t="str">
        <f>IFERROR(__xludf.DUMMYFUNCTION("""COMPUTED_VALUE"""),"Paula Cristina Santos Pirineus ... (et al.).")</f>
        <v>Paula Cristina Santos Pirineus ... (et al.).</v>
      </c>
      <c r="C419" s="24" t="str">
        <f>IFERROR(__xludf.DUMMYFUNCTION("""COMPUTED_VALUE"""),"Dourados, MS")</f>
        <v>Dourados, MS</v>
      </c>
      <c r="D419" s="24" t="str">
        <f>IFERROR(__xludf.DUMMYFUNCTION("""COMPUTED_VALUE"""),"Ed. Universidade Federal da Grande Dourados")</f>
        <v>Ed. Universidade Federal da Grande Dourados</v>
      </c>
      <c r="E419" s="25">
        <f>IFERROR(__xludf.DUMMYFUNCTION("""COMPUTED_VALUE"""),2019.0)</f>
        <v>2019</v>
      </c>
      <c r="F419" s="24" t="str">
        <f>IFERROR(__xludf.DUMMYFUNCTION("""COMPUTED_VALUE"""),"Literatura brasileira - Antologias; Crônica brasileira. 3 Conto brasileiro; Poesia brasileira")</f>
        <v>Literatura brasileira - Antologias; Crônica brasileira. 3 Conto brasileiro; Poesia brasileira</v>
      </c>
      <c r="G419" s="28" t="str">
        <f>IFERROR(__xludf.DUMMYFUNCTION("""COMPUTED_VALUE"""),"9788581471679")</f>
        <v>9788581471679</v>
      </c>
      <c r="H419" s="29" t="str">
        <f>IFERROR(__xludf.DUMMYFUNCTION("""COMPUTED_VALUE"""),"http://omp.ufgd.edu.br/omp/index.php/livrosabertos/catalog/view/177/114/392-1")</f>
        <v>http://omp.ufgd.edu.br/omp/index.php/livrosabertos/catalog/view/177/114/392-1</v>
      </c>
      <c r="I419" s="24" t="str">
        <f>IFERROR(__xludf.DUMMYFUNCTION("""COMPUTED_VALUE"""),"Lingüística Letras e Artes")</f>
        <v>Lingüística Letras e Artes</v>
      </c>
    </row>
    <row r="420">
      <c r="A420" s="24" t="str">
        <f>IFERROR(__xludf.DUMMYFUNCTION("""COMPUTED_VALUE"""),"Repetição em diálogos: análise funcional da conversação")</f>
        <v>Repetição em diálogos: análise funcional da conversação</v>
      </c>
      <c r="B420" s="24" t="str">
        <f>IFERROR(__xludf.DUMMYFUNCTION("""COMPUTED_VALUE"""),"Mariangela Rios de Oliveira")</f>
        <v>Mariangela Rios de Oliveira</v>
      </c>
      <c r="C420" s="24" t="str">
        <f>IFERROR(__xludf.DUMMYFUNCTION("""COMPUTED_VALUE"""),"Niterói, RJ")</f>
        <v>Niterói, RJ</v>
      </c>
      <c r="D420" s="24" t="str">
        <f>IFERROR(__xludf.DUMMYFUNCTION("""COMPUTED_VALUE"""),"EDUFF")</f>
        <v>EDUFF</v>
      </c>
      <c r="E420" s="25">
        <f>IFERROR(__xludf.DUMMYFUNCTION("""COMPUTED_VALUE"""),1998.0)</f>
        <v>1998</v>
      </c>
      <c r="F420" s="24" t="str">
        <f>IFERROR(__xludf.DUMMYFUNCTION("""COMPUTED_VALUE"""),"Conversação")</f>
        <v>Conversação</v>
      </c>
      <c r="G420" s="28" t="str">
        <f>IFERROR(__xludf.DUMMYFUNCTION("""COMPUTED_VALUE"""),"8522802505")</f>
        <v>8522802505</v>
      </c>
      <c r="H420" s="29" t="str">
        <f>IFERROR(__xludf.DUMMYFUNCTION("""COMPUTED_VALUE"""),"http://www.eduff.uff.br/index.php/livros/597-repeticao-em-dialogos-analise-funcional-da-conversacao")</f>
        <v>http://www.eduff.uff.br/index.php/livros/597-repeticao-em-dialogos-analise-funcional-da-conversacao</v>
      </c>
      <c r="I420" s="24" t="str">
        <f>IFERROR(__xludf.DUMMYFUNCTION("""COMPUTED_VALUE"""),"Lingüística Letras e Artes")</f>
        <v>Lingüística Letras e Artes</v>
      </c>
    </row>
    <row r="421">
      <c r="A421" s="24" t="str">
        <f>IFERROR(__xludf.DUMMYFUNCTION("""COMPUTED_VALUE"""),"Ressignificações da história pela ficção*")</f>
        <v>Ressignificações da história pela ficção*</v>
      </c>
      <c r="B421" s="24" t="str">
        <f>IFERROR(__xludf.DUMMYFUNCTION("""COMPUTED_VALUE"""),"Marilene Weinhardt")</f>
        <v>Marilene Weinhardt</v>
      </c>
      <c r="C421" s="24" t="str">
        <f>IFERROR(__xludf.DUMMYFUNCTION("""COMPUTED_VALUE"""),"Ponta Grossa")</f>
        <v>Ponta Grossa</v>
      </c>
      <c r="D421" s="24" t="str">
        <f>IFERROR(__xludf.DUMMYFUNCTION("""COMPUTED_VALUE"""),"Editora UEPG")</f>
        <v>Editora UEPG</v>
      </c>
      <c r="E421" s="25">
        <f>IFERROR(__xludf.DUMMYFUNCTION("""COMPUTED_VALUE"""),2019.0)</f>
        <v>2019</v>
      </c>
      <c r="F421" s="24" t="str">
        <f>IFERROR(__xludf.DUMMYFUNCTION("""COMPUTED_VALUE"""),"Ficção Historia do Brasil")</f>
        <v>Ficção Historia do Brasil</v>
      </c>
      <c r="G421" s="28" t="str">
        <f>IFERROR(__xludf.DUMMYFUNCTION("""COMPUTED_VALUE"""),"98785779882509")</f>
        <v>98785779882509</v>
      </c>
      <c r="H421" s="29" t="str">
        <f>IFERROR(__xludf.DUMMYFUNCTION("""COMPUTED_VALUE"""),"https://portal-archipelagus.azurewebsites.net/farol/eduepg/ebook/ressignificacoes-da-historia-pela-ficcao/1197399/")</f>
        <v>https://portal-archipelagus.azurewebsites.net/farol/eduepg/ebook/ressignificacoes-da-historia-pela-ficcao/1197399/</v>
      </c>
      <c r="I421" s="24" t="str">
        <f>IFERROR(__xludf.DUMMYFUNCTION("""COMPUTED_VALUE"""),"Lingüística Letras e Artes")</f>
        <v>Lingüística Letras e Artes</v>
      </c>
    </row>
    <row r="422">
      <c r="A422" s="24" t="str">
        <f>IFERROR(__xludf.DUMMYFUNCTION("""COMPUTED_VALUE"""),"Revirando casa e mundo: representações literárias do herói e da família . Um estudo do romance português contemporâneo")</f>
        <v>Revirando casa e mundo: representações literárias do herói e da família . Um estudo do romance português contemporâneo</v>
      </c>
      <c r="B422" s="24" t="str">
        <f>IFERROR(__xludf.DUMMYFUNCTION("""COMPUTED_VALUE"""),"Maria Lúcia Wiltshire de Oliveira")</f>
        <v>Maria Lúcia Wiltshire de Oliveira</v>
      </c>
      <c r="C422" s="24" t="str">
        <f>IFERROR(__xludf.DUMMYFUNCTION("""COMPUTED_VALUE"""),"Niterói, RJ")</f>
        <v>Niterói, RJ</v>
      </c>
      <c r="D422" s="24" t="str">
        <f>IFERROR(__xludf.DUMMYFUNCTION("""COMPUTED_VALUE"""),"Editora da UFF")</f>
        <v>Editora da UFF</v>
      </c>
      <c r="E422" s="25">
        <f>IFERROR(__xludf.DUMMYFUNCTION("""COMPUTED_VALUE"""),2010.0)</f>
        <v>2010</v>
      </c>
      <c r="F422" s="24" t="str">
        <f>IFERROR(__xludf.DUMMYFUNCTION("""COMPUTED_VALUE"""),"Representação (Literatura); Mito na literatura; Romance português")</f>
        <v>Representação (Literatura); Mito na literatura; Romance português</v>
      </c>
      <c r="G422" s="28" t="str">
        <f>IFERROR(__xludf.DUMMYFUNCTION("""COMPUTED_VALUE"""),"9788522805525")</f>
        <v>9788522805525</v>
      </c>
      <c r="H422" s="29" t="str">
        <f>IFERROR(__xludf.DUMMYFUNCTION("""COMPUTED_VALUE"""),"https://bit.ly/Revirando-casa-e-mundo")</f>
        <v>https://bit.ly/Revirando-casa-e-mundo</v>
      </c>
      <c r="I422" s="24" t="str">
        <f>IFERROR(__xludf.DUMMYFUNCTION("""COMPUTED_VALUE"""),"Lingüística Letras e Artes")</f>
        <v>Lingüística Letras e Artes</v>
      </c>
    </row>
    <row r="423">
      <c r="A423" s="24" t="str">
        <f>IFERROR(__xludf.DUMMYFUNCTION("""COMPUTED_VALUE"""),"Rincões dos frutos de ouro (tipos e cenários do sul baiano)")</f>
        <v>Rincões dos frutos de ouro (tipos e cenários do sul baiano)</v>
      </c>
      <c r="B423" s="24" t="str">
        <f>IFERROR(__xludf.DUMMYFUNCTION("""COMPUTED_VALUE"""),"Sabóia Ribeiro")</f>
        <v>Sabóia Ribeiro</v>
      </c>
      <c r="C423" s="24" t="str">
        <f>IFERROR(__xludf.DUMMYFUNCTION("""COMPUTED_VALUE"""),"Ilhéus, BA")</f>
        <v>Ilhéus, BA</v>
      </c>
      <c r="D423" s="24" t="str">
        <f>IFERROR(__xludf.DUMMYFUNCTION("""COMPUTED_VALUE"""),"Editus")</f>
        <v>Editus</v>
      </c>
      <c r="E423" s="25">
        <f>IFERROR(__xludf.DUMMYFUNCTION("""COMPUTED_VALUE"""),2005.0)</f>
        <v>2005</v>
      </c>
      <c r="F423" s="24" t="str">
        <f>IFERROR(__xludf.DUMMYFUNCTION("""COMPUTED_VALUE"""),"Contos brasileiros; Literatura brasileira")</f>
        <v>Contos brasileiros; Literatura brasileira</v>
      </c>
      <c r="G423" s="28" t="str">
        <f>IFERROR(__xludf.DUMMYFUNCTION("""COMPUTED_VALUE"""),"8574550922")</f>
        <v>8574550922</v>
      </c>
      <c r="H423" s="29" t="str">
        <f>IFERROR(__xludf.DUMMYFUNCTION("""COMPUTED_VALUE"""),"http://www.uesc.br/editora/livrosdigitais2018/rincoes_dos_frutos_de_ouro.pdf")</f>
        <v>http://www.uesc.br/editora/livrosdigitais2018/rincoes_dos_frutos_de_ouro.pdf</v>
      </c>
      <c r="I423" s="24" t="str">
        <f>IFERROR(__xludf.DUMMYFUNCTION("""COMPUTED_VALUE"""),"Lingüística Letras e Artes")</f>
        <v>Lingüística Letras e Artes</v>
      </c>
    </row>
    <row r="424">
      <c r="A424" s="24" t="str">
        <f>IFERROR(__xludf.DUMMYFUNCTION("""COMPUTED_VALUE"""),"Rio Babel: a história das línguas na Amazônia")</f>
        <v>Rio Babel: a história das línguas na Amazônia</v>
      </c>
      <c r="B424" s="24" t="str">
        <f>IFERROR(__xludf.DUMMYFUNCTION("""COMPUTED_VALUE"""),"José Ribamar Bessa Freire")</f>
        <v>José Ribamar Bessa Freire</v>
      </c>
      <c r="C424" s="24" t="str">
        <f>IFERROR(__xludf.DUMMYFUNCTION("""COMPUTED_VALUE"""),"Rio de Janeiro")</f>
        <v>Rio de Janeiro</v>
      </c>
      <c r="D424" s="24" t="str">
        <f>IFERROR(__xludf.DUMMYFUNCTION("""COMPUTED_VALUE"""),"EdUERJ")</f>
        <v>EdUERJ</v>
      </c>
      <c r="E424" s="25">
        <f>IFERROR(__xludf.DUMMYFUNCTION("""COMPUTED_VALUE"""),2011.0)</f>
        <v>2011</v>
      </c>
      <c r="F424" s="24" t="str">
        <f>IFERROR(__xludf.DUMMYFUNCTION("""COMPUTED_VALUE"""),"Amazônia; Línguas; Língua Nheengatu")</f>
        <v>Amazônia; Línguas; Língua Nheengatu</v>
      </c>
      <c r="G424" s="28" t="str">
        <f>IFERROR(__xludf.DUMMYFUNCTION("""COMPUTED_VALUE"""),"9788575112076")</f>
        <v>9788575112076</v>
      </c>
      <c r="H424" s="29" t="str">
        <f>IFERROR(__xludf.DUMMYFUNCTION("""COMPUTED_VALUE"""),"https://www.eduerj.com/eng/?product=rio-babel-a-historia-das-linguas-na-amazonia-ebook")</f>
        <v>https://www.eduerj.com/eng/?product=rio-babel-a-historia-das-linguas-na-amazonia-ebook</v>
      </c>
      <c r="I424" s="24" t="str">
        <f>IFERROR(__xludf.DUMMYFUNCTION("""COMPUTED_VALUE"""),"Lingüística Letras e Artes")</f>
        <v>Lingüística Letras e Artes</v>
      </c>
    </row>
    <row r="425">
      <c r="A425" s="24" t="str">
        <f>IFERROR(__xludf.DUMMYFUNCTION("""COMPUTED_VALUE"""),"Ronaldo Azeredo: o mínimo múltiplo (in)comum da poesia concreta")</f>
        <v>Ronaldo Azeredo: o mínimo múltiplo (in)comum da poesia concreta</v>
      </c>
      <c r="B425" s="24" t="str">
        <f>IFERROR(__xludf.DUMMYFUNCTION("""COMPUTED_VALUE"""),"Marli Siqueira Leite")</f>
        <v>Marli Siqueira Leite</v>
      </c>
      <c r="C425" s="24" t="str">
        <f>IFERROR(__xludf.DUMMYFUNCTION("""COMPUTED_VALUE"""),"Vitória")</f>
        <v>Vitória</v>
      </c>
      <c r="D425" s="24" t="str">
        <f>IFERROR(__xludf.DUMMYFUNCTION("""COMPUTED_VALUE"""),"EDUFES")</f>
        <v>EDUFES</v>
      </c>
      <c r="E425" s="25">
        <f>IFERROR(__xludf.DUMMYFUNCTION("""COMPUTED_VALUE"""),2013.0)</f>
        <v>2013</v>
      </c>
      <c r="F425" s="24" t="str">
        <f>IFERROR(__xludf.DUMMYFUNCTION("""COMPUTED_VALUE"""),"Ronaldo Azeredo; Poesia brasileira; Poesia concreta; Poesia visual; Literatura experimental")</f>
        <v>Ronaldo Azeredo; Poesia brasileira; Poesia concreta; Poesia visual; Literatura experimental</v>
      </c>
      <c r="G425" s="28" t="str">
        <f>IFERROR(__xludf.DUMMYFUNCTION("""COMPUTED_VALUE"""),"9788577721603")</f>
        <v>9788577721603</v>
      </c>
      <c r="H425" s="29" t="str">
        <f>IFERROR(__xludf.DUMMYFUNCTION("""COMPUTED_VALUE"""),"http://repositorio.ufes.br/handle/10/858")</f>
        <v>http://repositorio.ufes.br/handle/10/858</v>
      </c>
      <c r="I425" s="24" t="str">
        <f>IFERROR(__xludf.DUMMYFUNCTION("""COMPUTED_VALUE"""),"Lingüística Letras e Artes")</f>
        <v>Lingüística Letras e Artes</v>
      </c>
    </row>
    <row r="426">
      <c r="A426" s="24" t="str">
        <f>IFERROR(__xludf.DUMMYFUNCTION("""COMPUTED_VALUE"""),"Roraima entre línguas: contatos linguísticos no universo da tríplice fronteira do extremo-norte brasileiro")</f>
        <v>Roraima entre línguas: contatos linguísticos no universo da tríplice fronteira do extremo-norte brasileiro</v>
      </c>
      <c r="B426" s="24" t="str">
        <f>IFERROR(__xludf.DUMMYFUNCTION("""COMPUTED_VALUE"""),"Alessandra Cruz; Felipe Aleixo (org.)")</f>
        <v>Alessandra Cruz; Felipe Aleixo (org.)</v>
      </c>
      <c r="C426" s="24" t="str">
        <f>IFERROR(__xludf.DUMMYFUNCTION("""COMPUTED_VALUE"""),"Boa Vista ")</f>
        <v>Boa Vista </v>
      </c>
      <c r="D426" s="24" t="str">
        <f>IFERROR(__xludf.DUMMYFUNCTION("""COMPUTED_VALUE"""),"UFRR")</f>
        <v>UFRR</v>
      </c>
      <c r="E426" s="25">
        <f>IFERROR(__xludf.DUMMYFUNCTION("""COMPUTED_VALUE"""),2020.0)</f>
        <v>2020</v>
      </c>
      <c r="F426" s="24" t="str">
        <f>IFERROR(__xludf.DUMMYFUNCTION("""COMPUTED_VALUE"""),"Extremo norte-brasileiro; Tríplice fronteira; Linguística; Sociolinguística; Ensino de línguas")</f>
        <v>Extremo norte-brasileiro; Tríplice fronteira; Linguística; Sociolinguística; Ensino de línguas</v>
      </c>
      <c r="G426" s="28" t="str">
        <f>IFERROR(__xludf.DUMMYFUNCTION("""COMPUTED_VALUE"""),"9786586062106")</f>
        <v>9786586062106</v>
      </c>
      <c r="H426" s="29" t="str">
        <f>IFERROR(__xludf.DUMMYFUNCTION("""COMPUTED_VALUE"""),"http://ufrr.br/editora/index.php/editais?download=439")</f>
        <v>http://ufrr.br/editora/index.php/editais?download=439</v>
      </c>
      <c r="I426" s="24" t="str">
        <f>IFERROR(__xludf.DUMMYFUNCTION("""COMPUTED_VALUE"""),"Lingüística Letras e Artes")</f>
        <v>Lingüística Letras e Artes</v>
      </c>
    </row>
    <row r="427">
      <c r="A427" s="24" t="str">
        <f>IFERROR(__xludf.DUMMYFUNCTION("""COMPUTED_VALUE"""),"Rui Barbosa: cronologia da vida e da obra")</f>
        <v>Rui Barbosa: cronologia da vida e da obra</v>
      </c>
      <c r="B427" s="24" t="str">
        <f>IFERROR(__xludf.DUMMYFUNCTION("""COMPUTED_VALUE"""),"Rejane M. Moreira de A. Magalhães")</f>
        <v>Rejane M. Moreira de A. Magalhães</v>
      </c>
      <c r="C427" s="24" t="str">
        <f>IFERROR(__xludf.DUMMYFUNCTION("""COMPUTED_VALUE"""),"Rio de Janeiro")</f>
        <v>Rio de Janeiro</v>
      </c>
      <c r="D427" s="24" t="str">
        <f>IFERROR(__xludf.DUMMYFUNCTION("""COMPUTED_VALUE"""),"Fundação Casa de Rui Barbosa")</f>
        <v>Fundação Casa de Rui Barbosa</v>
      </c>
      <c r="E427" s="25">
        <f>IFERROR(__xludf.DUMMYFUNCTION("""COMPUTED_VALUE"""),1999.0)</f>
        <v>1999</v>
      </c>
      <c r="F427" s="24" t="str">
        <f>IFERROR(__xludf.DUMMYFUNCTION("""COMPUTED_VALUE"""),"Barbosa, Rui, 1849-1923. Fundação Casa de Rui Barbosa")</f>
        <v>Barbosa, Rui, 1849-1923. Fundação Casa de Rui Barbosa</v>
      </c>
      <c r="G427" s="28" t="str">
        <f>IFERROR(__xludf.DUMMYFUNCTION("""COMPUTED_VALUE"""),"8570042094")</f>
        <v>8570042094</v>
      </c>
      <c r="H427" s="29" t="str">
        <f>IFERROR(__xludf.DUMMYFUNCTION("""COMPUTED_VALUE"""),"http://www.casaruibarbosa.gov.br/arquivos/file/Rui%20Barbosa_cronologia%20da%20vida%20e%20da%20obra%20OCR.pdf")</f>
        <v>http://www.casaruibarbosa.gov.br/arquivos/file/Rui%20Barbosa_cronologia%20da%20vida%20e%20da%20obra%20OCR.pdf</v>
      </c>
      <c r="I427" s="24" t="str">
        <f>IFERROR(__xludf.DUMMYFUNCTION("""COMPUTED_VALUE"""),"Lingüística Letras e Artes")</f>
        <v>Lingüística Letras e Artes</v>
      </c>
    </row>
    <row r="428">
      <c r="A428" s="24" t="str">
        <f>IFERROR(__xludf.DUMMYFUNCTION("""COMPUTED_VALUE"""),"Rui, sua casa e seus livros")</f>
        <v>Rui, sua casa e seus livros</v>
      </c>
      <c r="B428" s="24" t="str">
        <f>IFERROR(__xludf.DUMMYFUNCTION("""COMPUTED_VALUE"""),"FUNDAÇÃO CASA DE RUI BARBOSA ")</f>
        <v>FUNDAÇÃO CASA DE RUI BARBOSA </v>
      </c>
      <c r="C428" s="24" t="str">
        <f>IFERROR(__xludf.DUMMYFUNCTION("""COMPUTED_VALUE"""),"Rio de Janeiro")</f>
        <v>Rio de Janeiro</v>
      </c>
      <c r="D428" s="24" t="str">
        <f>IFERROR(__xludf.DUMMYFUNCTION("""COMPUTED_VALUE"""),"Fundação Casa de Rui Barbosa")</f>
        <v>Fundação Casa de Rui Barbosa</v>
      </c>
      <c r="E428" s="25">
        <f>IFERROR(__xludf.DUMMYFUNCTION("""COMPUTED_VALUE"""),1980.0)</f>
        <v>1980</v>
      </c>
      <c r="F428" s="24" t="str">
        <f>IFERROR(__xludf.DUMMYFUNCTION("""COMPUTED_VALUE"""),"Barbosa, Rui - Casas - Rio de Janeiro, Rua São Clemente.; Barbosa, Rui - Livros e Cultura")</f>
        <v>Barbosa, Rui - Casas - Rio de Janeiro, Rua São Clemente.; Barbosa, Rui - Livros e Cultura</v>
      </c>
      <c r="G428" s="28" t="str">
        <f>IFERROR(__xludf.DUMMYFUNCTION("""COMPUTED_VALUE"""),"8570040350")</f>
        <v>8570040350</v>
      </c>
      <c r="H428" s="29" t="str">
        <f>IFERROR(__xludf.DUMMYFUNCTION("""COMPUTED_VALUE"""),"http://www.casaruibarbosa.gov.br/arquivos/file/Rui%20sua%20casa%20e%20seus%20livros%20OCR(1).pdf")</f>
        <v>http://www.casaruibarbosa.gov.br/arquivos/file/Rui%20sua%20casa%20e%20seus%20livros%20OCR(1).pdf</v>
      </c>
      <c r="I428" s="24" t="str">
        <f>IFERROR(__xludf.DUMMYFUNCTION("""COMPUTED_VALUE"""),"Lingüística Letras e Artes")</f>
        <v>Lingüística Letras e Artes</v>
      </c>
    </row>
    <row r="429">
      <c r="A429" s="24" t="str">
        <f>IFERROR(__xludf.DUMMYFUNCTION("""COMPUTED_VALUE"""),"Semântica, enunciação e ensino")</f>
        <v>Semântica, enunciação e ensino</v>
      </c>
      <c r="B429" s="24" t="str">
        <f>IFERROR(__xludf.DUMMYFUNCTION("""COMPUTED_VALUE"""),"Vírginia Beatriz Baesse Abrahão")</f>
        <v>Vírginia Beatriz Baesse Abrahão</v>
      </c>
      <c r="C429" s="24" t="str">
        <f>IFERROR(__xludf.DUMMYFUNCTION("""COMPUTED_VALUE"""),"Vitória")</f>
        <v>Vitória</v>
      </c>
      <c r="D429" s="24" t="str">
        <f>IFERROR(__xludf.DUMMYFUNCTION("""COMPUTED_VALUE"""),"EDUFES")</f>
        <v>EDUFES</v>
      </c>
      <c r="E429" s="25">
        <f>IFERROR(__xludf.DUMMYFUNCTION("""COMPUTED_VALUE"""),2018.0)</f>
        <v>2018</v>
      </c>
      <c r="F429" s="24" t="str">
        <f>IFERROR(__xludf.DUMMYFUNCTION("""COMPUTED_VALUE"""),"Semântica; Análise do discurso; Linguagem")</f>
        <v>Semântica; Análise do discurso; Linguagem</v>
      </c>
      <c r="G429" s="28" t="str">
        <f>IFERROR(__xludf.DUMMYFUNCTION("""COMPUTED_VALUE"""),"9788577723676")</f>
        <v>9788577723676</v>
      </c>
      <c r="H429" s="29" t="str">
        <f>IFERROR(__xludf.DUMMYFUNCTION("""COMPUTED_VALUE"""),"http://repositorio.ufes.br/bitstream/10/6979/1/Sem%C3%A2ntica%2C%20enuncia%C3%A7%C3%A3o%20e%20ensino_vers%C3%A3o%20digital.pdf")</f>
        <v>http://repositorio.ufes.br/bitstream/10/6979/1/Sem%C3%A2ntica%2C%20enuncia%C3%A7%C3%A3o%20e%20ensino_vers%C3%A3o%20digital.pdf</v>
      </c>
      <c r="I429" s="24" t="str">
        <f>IFERROR(__xludf.DUMMYFUNCTION("""COMPUTED_VALUE"""),"Lingüística Letras e Artes")</f>
        <v>Lingüística Letras e Artes</v>
      </c>
    </row>
    <row r="430">
      <c r="A430" s="24" t="str">
        <f>IFERROR(__xludf.DUMMYFUNCTION("""COMPUTED_VALUE"""),"Sentidos em disputa: discursos em funcionamento ")</f>
        <v>Sentidos em disputa: discursos em funcionamento </v>
      </c>
      <c r="B430" s="24" t="str">
        <f>IFERROR(__xludf.DUMMYFUNCTION("""COMPUTED_VALUE"""),"João Benvindo de Moura, José Ribamar Lopes Batista Júnior e Maraisa Lopes (org.)")</f>
        <v>João Benvindo de Moura, José Ribamar Lopes Batista Júnior e Maraisa Lopes (org.)</v>
      </c>
      <c r="C430" s="24" t="str">
        <f>IFERROR(__xludf.DUMMYFUNCTION("""COMPUTED_VALUE"""),"Teresina / São Carlos")</f>
        <v>Teresina / São Carlos</v>
      </c>
      <c r="D430" s="24" t="str">
        <f>IFERROR(__xludf.DUMMYFUNCTION("""COMPUTED_VALUE"""),"Editora da UFPI / Pedro &amp; João Editores")</f>
        <v>Editora da UFPI / Pedro &amp; João Editores</v>
      </c>
      <c r="E430" s="25">
        <f>IFERROR(__xludf.DUMMYFUNCTION("""COMPUTED_VALUE"""),2017.0)</f>
        <v>2017</v>
      </c>
      <c r="F430" s="24" t="str">
        <f>IFERROR(__xludf.DUMMYFUNCTION("""COMPUTED_VALUE"""),"Análise do Discurso; Estudos da Linguagem; Sentidos e Discurso; Autora")</f>
        <v>Análise do Discurso; Estudos da Linguagem; Sentidos e Discurso; Autora</v>
      </c>
      <c r="G430" s="28" t="str">
        <f>IFERROR(__xludf.DUMMYFUNCTION("""COMPUTED_VALUE"""),"9788550901084")</f>
        <v>9788550901084</v>
      </c>
      <c r="H430" s="29" t="str">
        <f>IFERROR(__xludf.DUMMYFUNCTION("""COMPUTED_VALUE"""),"https://www.ufpi.br/arquivos_download/arquivos/NEPAD_Sentidos_em_disputa_201720200710145830.pdf")</f>
        <v>https://www.ufpi.br/arquivos_download/arquivos/NEPAD_Sentidos_em_disputa_201720200710145830.pdf</v>
      </c>
      <c r="I430" s="24" t="str">
        <f>IFERROR(__xludf.DUMMYFUNCTION("""COMPUTED_VALUE"""),"Lingüística Letras e Artes")</f>
        <v>Lingüística Letras e Artes</v>
      </c>
    </row>
    <row r="431">
      <c r="A431" s="24" t="str">
        <f>IFERROR(__xludf.DUMMYFUNCTION("""COMPUTED_VALUE"""),"Sereia de papel: visões de Ana Cristina Cesar")</f>
        <v>Sereia de papel: visões de Ana Cristina Cesar</v>
      </c>
      <c r="B431" s="24" t="str">
        <f>IFERROR(__xludf.DUMMYFUNCTION("""COMPUTED_VALUE"""),"Álvaro Faleiros, Roberto Zular, Viviana Bosi (Orgs.)")</f>
        <v>Álvaro Faleiros, Roberto Zular, Viviana Bosi (Orgs.)</v>
      </c>
      <c r="C431" s="24" t="str">
        <f>IFERROR(__xludf.DUMMYFUNCTION("""COMPUTED_VALUE"""),"Rio de Janeiro")</f>
        <v>Rio de Janeiro</v>
      </c>
      <c r="D431" s="24" t="str">
        <f>IFERROR(__xludf.DUMMYFUNCTION("""COMPUTED_VALUE"""),"EdUERJ")</f>
        <v>EdUERJ</v>
      </c>
      <c r="E431" s="25">
        <f>IFERROR(__xludf.DUMMYFUNCTION("""COMPUTED_VALUE"""),2015.0)</f>
        <v>2015</v>
      </c>
      <c r="F431" s="24" t="str">
        <f>IFERROR(__xludf.DUMMYFUNCTION("""COMPUTED_VALUE"""),"Ana Cristina Cesar; Poesia brasileira; Poesia")</f>
        <v>Ana Cristina Cesar; Poesia brasileira; Poesia</v>
      </c>
      <c r="G431" s="28" t="str">
        <f>IFERROR(__xludf.DUMMYFUNCTION("""COMPUTED_VALUE"""),"9788575113813")</f>
        <v>9788575113813</v>
      </c>
      <c r="H431" s="29" t="str">
        <f>IFERROR(__xludf.DUMMYFUNCTION("""COMPUTED_VALUE"""),"https://www.eduerj.com/eng/?product=sereia-de-papel-visoes-de-ana-cristina-cesar-ebook")</f>
        <v>https://www.eduerj.com/eng/?product=sereia-de-papel-visoes-de-ana-cristina-cesar-ebook</v>
      </c>
      <c r="I431" s="24" t="str">
        <f>IFERROR(__xludf.DUMMYFUNCTION("""COMPUTED_VALUE"""),"Lingüística Letras e Artes")</f>
        <v>Lingüística Letras e Artes</v>
      </c>
    </row>
    <row r="432">
      <c r="A432" s="24" t="str">
        <f>IFERROR(__xludf.DUMMYFUNCTION("""COMPUTED_VALUE"""),"Silêncio entre pássaros: poesia para fim de semana")</f>
        <v>Silêncio entre pássaros: poesia para fim de semana</v>
      </c>
      <c r="B432" s="24" t="str">
        <f>IFERROR(__xludf.DUMMYFUNCTION("""COMPUTED_VALUE"""),"José Cláudio Faria")</f>
        <v>José Cláudio Faria</v>
      </c>
      <c r="C432" s="24" t="str">
        <f>IFERROR(__xludf.DUMMYFUNCTION("""COMPUTED_VALUE"""),"Ilhéus, BA")</f>
        <v>Ilhéus, BA</v>
      </c>
      <c r="D432" s="24" t="str">
        <f>IFERROR(__xludf.DUMMYFUNCTION("""COMPUTED_VALUE"""),"Editus")</f>
        <v>Editus</v>
      </c>
      <c r="E432" s="25">
        <f>IFERROR(__xludf.DUMMYFUNCTION("""COMPUTED_VALUE"""),2006.0)</f>
        <v>2006</v>
      </c>
      <c r="F432" s="24" t="str">
        <f>IFERROR(__xludf.DUMMYFUNCTION("""COMPUTED_VALUE"""),"Poesia brasileira; Literatura brasileira")</f>
        <v>Poesia brasileira; Literatura brasileira</v>
      </c>
      <c r="G432" s="28" t="str">
        <f>IFERROR(__xludf.DUMMYFUNCTION("""COMPUTED_VALUE"""),"8574551090")</f>
        <v>8574551090</v>
      </c>
      <c r="H432" s="29" t="str">
        <f>IFERROR(__xludf.DUMMYFUNCTION("""COMPUTED_VALUE"""),"http://www.uesc.br/editora/livrosdigitais2015/silencio_passaros.pdf")</f>
        <v>http://www.uesc.br/editora/livrosdigitais2015/silencio_passaros.pdf</v>
      </c>
      <c r="I432" s="24" t="str">
        <f>IFERROR(__xludf.DUMMYFUNCTION("""COMPUTED_VALUE"""),"Lingüística Letras e Artes")</f>
        <v>Lingüística Letras e Artes</v>
      </c>
    </row>
    <row r="433">
      <c r="A433" s="24" t="str">
        <f>IFERROR(__xludf.DUMMYFUNCTION("""COMPUTED_VALUE"""),"Sob a égide da vaidade e da arte: aproximações entre Érico Veríssimo e Oscar Wilde")</f>
        <v>Sob a égide da vaidade e da arte: aproximações entre Érico Veríssimo e Oscar Wilde</v>
      </c>
      <c r="B433" s="24" t="str">
        <f>IFERROR(__xludf.DUMMYFUNCTION("""COMPUTED_VALUE"""),"Ivan Marcos Ribeiro")</f>
        <v>Ivan Marcos Ribeiro</v>
      </c>
      <c r="C433" s="24" t="str">
        <f>IFERROR(__xludf.DUMMYFUNCTION("""COMPUTED_VALUE"""),"Uberlândia")</f>
        <v>Uberlândia</v>
      </c>
      <c r="D433" s="24" t="str">
        <f>IFERROR(__xludf.DUMMYFUNCTION("""COMPUTED_VALUE"""),"EDUFU")</f>
        <v>EDUFU</v>
      </c>
      <c r="E433" s="25">
        <f>IFERROR(__xludf.DUMMYFUNCTION("""COMPUTED_VALUE"""),2017.0)</f>
        <v>2017</v>
      </c>
      <c r="F433" s="24" t="str">
        <f>IFERROR(__xludf.DUMMYFUNCTION("""COMPUTED_VALUE"""),"Literatura- História e crítica; Veríssimo,Érico 1905-1975- Crítica e interpretação; Wilde, Oscar 1854-1900- Crítica e interpretação.I.Título")</f>
        <v>Literatura- História e crítica; Veríssimo,Érico 1905-1975- Crítica e interpretação; Wilde, Oscar 1854-1900- Crítica e interpretação.I.Título</v>
      </c>
      <c r="G433" s="28" t="str">
        <f>IFERROR(__xludf.DUMMYFUNCTION("""COMPUTED_VALUE"""),"9788570784315")</f>
        <v>9788570784315</v>
      </c>
      <c r="H433" s="29" t="str">
        <f>IFERROR(__xludf.DUMMYFUNCTION("""COMPUTED_VALUE"""),"http://www.edufu.ufu.br/sites/edufu.ufu.br/files/e-book_a_egide_2017_0.pdf")</f>
        <v>http://www.edufu.ufu.br/sites/edufu.ufu.br/files/e-book_a_egide_2017_0.pdf</v>
      </c>
      <c r="I433" s="24" t="str">
        <f>IFERROR(__xludf.DUMMYFUNCTION("""COMPUTED_VALUE"""),"Lingüística Letras e Artes")</f>
        <v>Lingüística Letras e Artes</v>
      </c>
    </row>
    <row r="434">
      <c r="A434" s="24" t="str">
        <f>IFERROR(__xludf.DUMMYFUNCTION("""COMPUTED_VALUE"""),"Sobre mulheres e estrangeiros: alguns romances de Olga Gonçalves")</f>
        <v>Sobre mulheres e estrangeiros: alguns romances de Olga Gonçalves</v>
      </c>
      <c r="B434" s="24" t="str">
        <f>IFERROR(__xludf.DUMMYFUNCTION("""COMPUTED_VALUE"""),"Silvio Renato Jorge")</f>
        <v>Silvio Renato Jorge</v>
      </c>
      <c r="C434" s="24" t="str">
        <f>IFERROR(__xludf.DUMMYFUNCTION("""COMPUTED_VALUE"""),"Niterói, RJ")</f>
        <v>Niterói, RJ</v>
      </c>
      <c r="D434" s="24" t="str">
        <f>IFERROR(__xludf.DUMMYFUNCTION("""COMPUTED_VALUE"""),"EDUFF")</f>
        <v>EDUFF</v>
      </c>
      <c r="E434" s="25">
        <f>IFERROR(__xludf.DUMMYFUNCTION("""COMPUTED_VALUE"""),2008.0)</f>
        <v>2008</v>
      </c>
      <c r="F434" s="24" t="str">
        <f>IFERROR(__xludf.DUMMYFUNCTION("""COMPUTED_VALUE"""),"Literatura Portuguesa; Olga Gonçalves")</f>
        <v>Literatura Portuguesa; Olga Gonçalves</v>
      </c>
      <c r="G434" s="28" t="str">
        <f>IFERROR(__xludf.DUMMYFUNCTION("""COMPUTED_VALUE"""),"9878522804818")</f>
        <v>9878522804818</v>
      </c>
      <c r="H434" s="29" t="str">
        <f>IFERROR(__xludf.DUMMYFUNCTION("""COMPUTED_VALUE"""),"http://www.eduff.uff.br/index.php/livros/602-sobre-mulheres-e-estrangeiros-alguns-romances-de-olga-goncalves")</f>
        <v>http://www.eduff.uff.br/index.php/livros/602-sobre-mulheres-e-estrangeiros-alguns-romances-de-olga-goncalves</v>
      </c>
      <c r="I434" s="24" t="str">
        <f>IFERROR(__xludf.DUMMYFUNCTION("""COMPUTED_VALUE"""),"Lingüística Letras e Artes")</f>
        <v>Lingüística Letras e Artes</v>
      </c>
    </row>
    <row r="435">
      <c r="A435" s="24" t="str">
        <f>IFERROR(__xludf.DUMMYFUNCTION("""COMPUTED_VALUE"""),"Sociolinguística na Amazônia")</f>
        <v>Sociolinguística na Amazônia</v>
      </c>
      <c r="B435" s="24" t="str">
        <f>IFERROR(__xludf.DUMMYFUNCTION("""COMPUTED_VALUE"""),"Odete Burgeile (org.)")</f>
        <v>Odete Burgeile (org.)</v>
      </c>
      <c r="C435" s="24" t="str">
        <f>IFERROR(__xludf.DUMMYFUNCTION("""COMPUTED_VALUE"""),"Macapá")</f>
        <v>Macapá</v>
      </c>
      <c r="D435" s="24" t="str">
        <f>IFERROR(__xludf.DUMMYFUNCTION("""COMPUTED_VALUE"""),"UNIFAP")</f>
        <v>UNIFAP</v>
      </c>
      <c r="E435" s="25">
        <f>IFERROR(__xludf.DUMMYFUNCTION("""COMPUTED_VALUE"""),2017.0)</f>
        <v>2017</v>
      </c>
      <c r="F435" s="24" t="str">
        <f>IFERROR(__xludf.DUMMYFUNCTION("""COMPUTED_VALUE"""),"Sociolinguística; Linguística; Sociedade; Amazônia")</f>
        <v>Sociolinguística; Linguística; Sociedade; Amazônia</v>
      </c>
      <c r="G435" s="28" t="str">
        <f>IFERROR(__xludf.DUMMYFUNCTION("""COMPUTED_VALUE"""),"9788562359965")</f>
        <v>9788562359965</v>
      </c>
      <c r="H435" s="29" t="str">
        <f>IFERROR(__xludf.DUMMYFUNCTION("""COMPUTED_VALUE"""),"https://www2.unifap.br/editora/files/2014/12/Sociolingu%c3%adstica-na-Amaz%c3%b4nia-Volume-II-Odete-Burgeile.pdf")</f>
        <v>https://www2.unifap.br/editora/files/2014/12/Sociolingu%c3%adstica-na-Amaz%c3%b4nia-Volume-II-Odete-Burgeile.pdf</v>
      </c>
      <c r="I435" s="24" t="str">
        <f>IFERROR(__xludf.DUMMYFUNCTION("""COMPUTED_VALUE"""),"Lingüística Letras e Artes")</f>
        <v>Lingüística Letras e Artes</v>
      </c>
    </row>
    <row r="436">
      <c r="A436" s="24" t="str">
        <f>IFERROR(__xludf.DUMMYFUNCTION("""COMPUTED_VALUE"""),"Sonho de uma noite de verão")</f>
        <v>Sonho de uma noite de verão</v>
      </c>
      <c r="B436" s="24" t="str">
        <f>IFERROR(__xludf.DUMMYFUNCTION("""COMPUTED_VALUE"""),"Shakespeare, William")</f>
        <v>Shakespeare, William</v>
      </c>
      <c r="C436" s="24" t="str">
        <f>IFERROR(__xludf.DUMMYFUNCTION("""COMPUTED_VALUE"""),"Florianópolis")</f>
        <v>Florianópolis</v>
      </c>
      <c r="D436" s="24" t="str">
        <f>IFERROR(__xludf.DUMMYFUNCTION("""COMPUTED_VALUE"""),"Editora da UFSC")</f>
        <v>Editora da UFSC</v>
      </c>
      <c r="E436" s="25">
        <f>IFERROR(__xludf.DUMMYFUNCTION("""COMPUTED_VALUE"""),2016.0)</f>
        <v>2016</v>
      </c>
      <c r="F436" s="24" t="str">
        <f>IFERROR(__xludf.DUMMYFUNCTION("""COMPUTED_VALUE"""),"Literatura inglesa;Teatro inglês")</f>
        <v>Literatura inglesa;Teatro inglês</v>
      </c>
      <c r="G436" s="28" t="str">
        <f>IFERROR(__xludf.DUMMYFUNCTION("""COMPUTED_VALUE"""),"9788532807502")</f>
        <v>9788532807502</v>
      </c>
      <c r="H436" s="29" t="str">
        <f>IFERROR(__xludf.DUMMYFUNCTION("""COMPUTED_VALUE"""),"https://repositorio.ufsc.br/handle/123456789/187671")</f>
        <v>https://repositorio.ufsc.br/handle/123456789/187671</v>
      </c>
      <c r="I436" s="24" t="str">
        <f>IFERROR(__xludf.DUMMYFUNCTION("""COMPUTED_VALUE"""),"Lingüística Letras e Artes")</f>
        <v>Lingüística Letras e Artes</v>
      </c>
    </row>
    <row r="437">
      <c r="A437" s="24" t="str">
        <f>IFERROR(__xludf.DUMMYFUNCTION("""COMPUTED_VALUE"""),"Sorriso de persona: estudos sobre teatro e recepção")</f>
        <v>Sorriso de persona: estudos sobre teatro e recepção</v>
      </c>
      <c r="B437" s="24" t="str">
        <f>IFERROR(__xludf.DUMMYFUNCTION("""COMPUTED_VALUE"""),"Danilo Barcelos, Ester Abreu Vieira de Oliveira, Maria Mirtis Caser (org.) ")</f>
        <v>Danilo Barcelos, Ester Abreu Vieira de Oliveira, Maria Mirtis Caser (org.) </v>
      </c>
      <c r="C437" s="24" t="str">
        <f>IFERROR(__xludf.DUMMYFUNCTION("""COMPUTED_VALUE"""),"Vitória")</f>
        <v>Vitória</v>
      </c>
      <c r="D437" s="24" t="str">
        <f>IFERROR(__xludf.DUMMYFUNCTION("""COMPUTED_VALUE"""),"EDUFES")</f>
        <v>EDUFES</v>
      </c>
      <c r="E437" s="25">
        <f>IFERROR(__xludf.DUMMYFUNCTION("""COMPUTED_VALUE"""),2014.0)</f>
        <v>2014</v>
      </c>
      <c r="F437" s="24" t="str">
        <f>IFERROR(__xludf.DUMMYFUNCTION("""COMPUTED_VALUE"""),"Teatro; Comédia; Cultura; Personagens fictícios")</f>
        <v>Teatro; Comédia; Cultura; Personagens fictícios</v>
      </c>
      <c r="G437" s="28" t="str">
        <f>IFERROR(__xludf.DUMMYFUNCTION("""COMPUTED_VALUE"""),"9788577722259")</f>
        <v>9788577722259</v>
      </c>
      <c r="H437" s="29" t="str">
        <f>IFERROR(__xludf.DUMMYFUNCTION("""COMPUTED_VALUE"""),"http://repositorio.ufes.br/bitstream/10/1458/6/Sorriso%20de%20persona%20estudos%20sobre%20teatro%20e%20recepcao.pdf")</f>
        <v>http://repositorio.ufes.br/bitstream/10/1458/6/Sorriso%20de%20persona%20estudos%20sobre%20teatro%20e%20recepcao.pdf</v>
      </c>
      <c r="I437" s="24" t="str">
        <f>IFERROR(__xludf.DUMMYFUNCTION("""COMPUTED_VALUE"""),"Lingüística Letras e Artes")</f>
        <v>Lingüística Letras e Artes</v>
      </c>
    </row>
    <row r="438">
      <c r="A438" s="24" t="str">
        <f>IFERROR(__xludf.DUMMYFUNCTION("""COMPUTED_VALUE"""),"Suriname")</f>
        <v>Suriname</v>
      </c>
      <c r="B438" s="24" t="str">
        <f>IFERROR(__xludf.DUMMYFUNCTION("""COMPUTED_VALUE"""),"Luciana Macêdo")</f>
        <v>Luciana Macêdo</v>
      </c>
      <c r="C438" s="24" t="str">
        <f>IFERROR(__xludf.DUMMYFUNCTION("""COMPUTED_VALUE"""),"Macapá")</f>
        <v>Macapá</v>
      </c>
      <c r="D438" s="24" t="str">
        <f>IFERROR(__xludf.DUMMYFUNCTION("""COMPUTED_VALUE"""),"UNIFAP")</f>
        <v>UNIFAP</v>
      </c>
      <c r="E438" s="25">
        <f>IFERROR(__xludf.DUMMYFUNCTION("""COMPUTED_VALUE"""),2019.0)</f>
        <v>2019</v>
      </c>
      <c r="F438" s="24" t="str">
        <f>IFERROR(__xludf.DUMMYFUNCTION("""COMPUTED_VALUE"""),"Fotografia;Turismo; Suriname")</f>
        <v>Fotografia;Turismo; Suriname</v>
      </c>
      <c r="G438" s="28" t="str">
        <f>IFERROR(__xludf.DUMMYFUNCTION("""COMPUTED_VALUE"""),"9788554760649")</f>
        <v>9788554760649</v>
      </c>
      <c r="H438" s="29" t="str">
        <f>IFERROR(__xludf.DUMMYFUNCTION("""COMPUTED_VALUE"""),"https://www2.unifap.br/editora/files/2019/05/suriname.pdf")</f>
        <v>https://www2.unifap.br/editora/files/2019/05/suriname.pdf</v>
      </c>
      <c r="I438" s="24" t="str">
        <f>IFERROR(__xludf.DUMMYFUNCTION("""COMPUTED_VALUE"""),"Lingüística Letras e Artes")</f>
        <v>Lingüística Letras e Artes</v>
      </c>
    </row>
    <row r="439">
      <c r="A439" s="24" t="str">
        <f>IFERROR(__xludf.DUMMYFUNCTION("""COMPUTED_VALUE"""),"Tekoha vy’a renda ")</f>
        <v>Tekoha vy’a renda </v>
      </c>
      <c r="B439" s="24" t="str">
        <f>IFERROR(__xludf.DUMMYFUNCTION("""COMPUTED_VALUE"""),"Comitê Editorial Cone Sul Ação Saberes Indígenas na Escola.")</f>
        <v>Comitê Editorial Cone Sul Ação Saberes Indígenas na Escola.</v>
      </c>
      <c r="C439" s="24" t="str">
        <f>IFERROR(__xludf.DUMMYFUNCTION("""COMPUTED_VALUE"""),"Dourados, MS")</f>
        <v>Dourados, MS</v>
      </c>
      <c r="D439" s="24" t="str">
        <f>IFERROR(__xludf.DUMMYFUNCTION("""COMPUTED_VALUE"""),"Ed. Universidade Federal da Grande Dourados")</f>
        <v>Ed. Universidade Federal da Grande Dourados</v>
      </c>
      <c r="E439" s="25">
        <f>IFERROR(__xludf.DUMMYFUNCTION("""COMPUTED_VALUE"""),2019.0)</f>
        <v>2019</v>
      </c>
      <c r="F439" s="24" t="str">
        <f>IFERROR(__xludf.DUMMYFUNCTION("""COMPUTED_VALUE"""),"Literatura infantojuvenil indígena (Brasil); Índios Guarani Kaiwá – Literaturainfantojuvenil; Literatura infantojuvenil brasileira – Escritores indígenas; Índios da América doSul – Mitos e lendas; Etnografia")</f>
        <v>Literatura infantojuvenil indígena (Brasil); Índios Guarani Kaiwá – Literaturainfantojuvenil; Literatura infantojuvenil brasileira – Escritores indígenas; Índios da América doSul – Mitos e lendas; Etnografia</v>
      </c>
      <c r="G439" s="28" t="str">
        <f>IFERROR(__xludf.DUMMYFUNCTION("""COMPUTED_VALUE"""),"9788581471648")</f>
        <v>9788581471648</v>
      </c>
      <c r="H439" s="29" t="str">
        <f>IFERROR(__xludf.DUMMYFUNCTION("""COMPUTED_VALUE"""),"http://omp.ufgd.edu.br/omp/index.php/livrosabertos/catalog/view/250/246/538-1")</f>
        <v>http://omp.ufgd.edu.br/omp/index.php/livrosabertos/catalog/view/250/246/538-1</v>
      </c>
      <c r="I439" s="24" t="str">
        <f>IFERROR(__xludf.DUMMYFUNCTION("""COMPUTED_VALUE"""),"Lingüística Letras e Artes")</f>
        <v>Lingüística Letras e Artes</v>
      </c>
    </row>
    <row r="440">
      <c r="A440" s="24" t="str">
        <f>IFERROR(__xludf.DUMMYFUNCTION("""COMPUTED_VALUE"""),"Tele-(re)escritura: um giro pelo imaginário nordestino em Ariano Suassuna e Luiz Fernando Carvalho")</f>
        <v>Tele-(re)escritura: um giro pelo imaginário nordestino em Ariano Suassuna e Luiz Fernando Carvalho</v>
      </c>
      <c r="B440" s="24" t="str">
        <f>IFERROR(__xludf.DUMMYFUNCTION("""COMPUTED_VALUE"""),"Emanuella Leite Rodrigues de Moraes")</f>
        <v>Emanuella Leite Rodrigues de Moraes</v>
      </c>
      <c r="C440" s="24" t="str">
        <f>IFERROR(__xludf.DUMMYFUNCTION("""COMPUTED_VALUE"""),"Salvador")</f>
        <v>Salvador</v>
      </c>
      <c r="D440" s="24" t="str">
        <f>IFERROR(__xludf.DUMMYFUNCTION("""COMPUTED_VALUE"""),"EDUFBA")</f>
        <v>EDUFBA</v>
      </c>
      <c r="E440" s="25">
        <f>IFERROR(__xludf.DUMMYFUNCTION("""COMPUTED_VALUE"""),2015.0)</f>
        <v>2015</v>
      </c>
      <c r="F440" s="24" t="str">
        <f>IFERROR(__xludf.DUMMYFUNCTION("""COMPUTED_VALUE"""),"Luiz Fernando Carvalho; Ariano Suassuna; Adaptações para a televisão; Cultura popular; Nordeste")</f>
        <v>Luiz Fernando Carvalho; Ariano Suassuna; Adaptações para a televisão; Cultura popular; Nordeste</v>
      </c>
      <c r="G440" s="28" t="str">
        <f>IFERROR(__xludf.DUMMYFUNCTION("""COMPUTED_VALUE"""),"9788523200000")</f>
        <v>9788523200000</v>
      </c>
      <c r="H440" s="29" t="str">
        <f>IFERROR(__xludf.DUMMYFUNCTION("""COMPUTED_VALUE"""),"http://repositorio.ufba.br/ri/handle/ri/17848")</f>
        <v>http://repositorio.ufba.br/ri/handle/ri/17848</v>
      </c>
      <c r="I440" s="24" t="str">
        <f>IFERROR(__xludf.DUMMYFUNCTION("""COMPUTED_VALUE"""),"Lingüística Letras e Artes")</f>
        <v>Lingüística Letras e Artes</v>
      </c>
    </row>
    <row r="441">
      <c r="A441" s="24" t="str">
        <f>IFERROR(__xludf.DUMMYFUNCTION("""COMPUTED_VALUE"""),"Tensões de tempo: a saga do cacau na ficção de Jorge Amado ")</f>
        <v>Tensões de tempo: a saga do cacau na ficção de Jorge Amado </v>
      </c>
      <c r="B441" s="24" t="str">
        <f>IFERROR(__xludf.DUMMYFUNCTION("""COMPUTED_VALUE"""),"Antônio Pereira Sousa")</f>
        <v>Antônio Pereira Sousa</v>
      </c>
      <c r="C441" s="24" t="str">
        <f>IFERROR(__xludf.DUMMYFUNCTION("""COMPUTED_VALUE"""),"Ilhéus, BA")</f>
        <v>Ilhéus, BA</v>
      </c>
      <c r="D441" s="24" t="str">
        <f>IFERROR(__xludf.DUMMYFUNCTION("""COMPUTED_VALUE"""),"Editus")</f>
        <v>Editus</v>
      </c>
      <c r="E441" s="25">
        <f>IFERROR(__xludf.DUMMYFUNCTION("""COMPUTED_VALUE"""),2001.0)</f>
        <v>2001</v>
      </c>
      <c r="F441" s="24" t="str">
        <f>IFERROR(__xludf.DUMMYFUNCTION("""COMPUTED_VALUE"""),"Amado, Jorge, 1912 - Crítica e interpretação; História social; Cacau - Aspectos sociais")</f>
        <v>Amado, Jorge, 1912 - Crítica e interpretação; História social; Cacau - Aspectos sociais</v>
      </c>
      <c r="G441" s="28" t="str">
        <f>IFERROR(__xludf.DUMMYFUNCTION("""COMPUTED_VALUE"""),"8574550272")</f>
        <v>8574550272</v>
      </c>
      <c r="H441" s="29" t="str">
        <f>IFERROR(__xludf.DUMMYFUNCTION("""COMPUTED_VALUE"""),"http://www.uesc.br/editora/livrosdigitais2015/tensoes_do_tempo.pdf")</f>
        <v>http://www.uesc.br/editora/livrosdigitais2015/tensoes_do_tempo.pdf</v>
      </c>
      <c r="I441" s="24" t="str">
        <f>IFERROR(__xludf.DUMMYFUNCTION("""COMPUTED_VALUE"""),"Lingüística Letras e Artes")</f>
        <v>Lingüística Letras e Artes</v>
      </c>
    </row>
    <row r="442">
      <c r="A442" s="24" t="str">
        <f>IFERROR(__xludf.DUMMYFUNCTION("""COMPUTED_VALUE"""),"Teoremas do mundo")</f>
        <v>Teoremas do mundo</v>
      </c>
      <c r="B442" s="24" t="str">
        <f>IFERROR(__xludf.DUMMYFUNCTION("""COMPUTED_VALUE"""),"Andréa Antonialli (org.)")</f>
        <v>Andréa Antonialli (org.)</v>
      </c>
      <c r="C442" s="24" t="str">
        <f>IFERROR(__xludf.DUMMYFUNCTION("""COMPUTED_VALUE"""),"São Bernardo do Campo, SP")</f>
        <v>São Bernardo do Campo, SP</v>
      </c>
      <c r="D442" s="24" t="str">
        <f>IFERROR(__xludf.DUMMYFUNCTION("""COMPUTED_VALUE"""),"UMESP")</f>
        <v>UMESP</v>
      </c>
      <c r="E442" s="25">
        <f>IFERROR(__xludf.DUMMYFUNCTION("""COMPUTED_VALUE"""),2015.0)</f>
        <v>2015</v>
      </c>
      <c r="F442" s="24" t="str">
        <f>IFERROR(__xludf.DUMMYFUNCTION("""COMPUTED_VALUE"""),"Literatura infantojuvenil")</f>
        <v>Literatura infantojuvenil</v>
      </c>
      <c r="G442" s="26"/>
      <c r="H442" s="29" t="str">
        <f>IFERROR(__xludf.DUMMYFUNCTION("""COMPUTED_VALUE"""),"http://editora.metodista.br/livros-gratis/teoremasdomundo.pdf/at_download/file")</f>
        <v>http://editora.metodista.br/livros-gratis/teoremasdomundo.pdf/at_download/file</v>
      </c>
      <c r="I442" s="24" t="str">
        <f>IFERROR(__xludf.DUMMYFUNCTION("""COMPUTED_VALUE"""),"Lingüística Letras e Artes")</f>
        <v>Lingüística Letras e Artes</v>
      </c>
    </row>
    <row r="443">
      <c r="A443" s="24" t="str">
        <f>IFERROR(__xludf.DUMMYFUNCTION("""COMPUTED_VALUE"""),"Teoria literária e hermenêutica ricoeuriana: um diálogopossível.")</f>
        <v>Teoria literária e hermenêutica ricoeuriana: um diálogopossível.</v>
      </c>
      <c r="B443" s="24" t="str">
        <f>IFERROR(__xludf.DUMMYFUNCTION("""COMPUTED_VALUE"""),"Adna Candido de Paula, Suzi Frankl Sperber (org.)")</f>
        <v>Adna Candido de Paula, Suzi Frankl Sperber (org.)</v>
      </c>
      <c r="C443" s="24" t="str">
        <f>IFERROR(__xludf.DUMMYFUNCTION("""COMPUTED_VALUE"""),"Dourados, MS")</f>
        <v>Dourados, MS</v>
      </c>
      <c r="D443" s="24" t="str">
        <f>IFERROR(__xludf.DUMMYFUNCTION("""COMPUTED_VALUE"""),"Editora da UFGD")</f>
        <v>Editora da UFGD</v>
      </c>
      <c r="E443" s="25">
        <f>IFERROR(__xludf.DUMMYFUNCTION("""COMPUTED_VALUE"""),2011.0)</f>
        <v>2011</v>
      </c>
      <c r="F443" s="24" t="str">
        <f>IFERROR(__xludf.DUMMYFUNCTION("""COMPUTED_VALUE"""),"Teoria literária; Filosoia hermenêutica; Ricoeur, Paul, 1913-200")</f>
        <v>Teoria literária; Filosoia hermenêutica; Ricoeur, Paul, 1913-200</v>
      </c>
      <c r="G443" s="28" t="str">
        <f>IFERROR(__xludf.DUMMYFUNCTION("""COMPUTED_VALUE"""),"9788561228804")</f>
        <v>9788561228804</v>
      </c>
      <c r="H443" s="29" t="str">
        <f>IFERROR(__xludf.DUMMYFUNCTION("""COMPUTED_VALUE"""),"http://omp.ufgd.edu.br/omp/index.php/livrosabertos/catalog/view/42/32/99-1")</f>
        <v>http://omp.ufgd.edu.br/omp/index.php/livrosabertos/catalog/view/42/32/99-1</v>
      </c>
      <c r="I443" s="24" t="str">
        <f>IFERROR(__xludf.DUMMYFUNCTION("""COMPUTED_VALUE"""),"Lingüística Letras e Artes")</f>
        <v>Lingüística Letras e Artes</v>
      </c>
    </row>
    <row r="444">
      <c r="A444" s="24" t="str">
        <f>IFERROR(__xludf.DUMMYFUNCTION("""COMPUTED_VALUE"""),"Teoria Literária: poética e teatro")</f>
        <v>Teoria Literária: poética e teatro</v>
      </c>
      <c r="B444" s="24" t="str">
        <f>IFERROR(__xludf.DUMMYFUNCTION("""COMPUTED_VALUE"""),"Agnaldo Rodrigues da Silva")</f>
        <v>Agnaldo Rodrigues da Silva</v>
      </c>
      <c r="C444" s="24" t="str">
        <f>IFERROR(__xludf.DUMMYFUNCTION("""COMPUTED_VALUE"""),"Cáceres")</f>
        <v>Cáceres</v>
      </c>
      <c r="D444" s="24" t="str">
        <f>IFERROR(__xludf.DUMMYFUNCTION("""COMPUTED_VALUE"""),"UNEMAT")</f>
        <v>UNEMAT</v>
      </c>
      <c r="E444" s="25">
        <f>IFERROR(__xludf.DUMMYFUNCTION("""COMPUTED_VALUE"""),2015.0)</f>
        <v>2015</v>
      </c>
      <c r="F444" s="24" t="str">
        <f>IFERROR(__xludf.DUMMYFUNCTION("""COMPUTED_VALUE"""),"Teoria Literária Estudos Literários Estudos Teatrais")</f>
        <v>Teoria Literária Estudos Literários Estudos Teatrais</v>
      </c>
      <c r="G444" s="28" t="str">
        <f>IFERROR(__xludf.DUMMYFUNCTION("""COMPUTED_VALUE"""),"9788579111563")</f>
        <v>9788579111563</v>
      </c>
      <c r="H444" s="29" t="str">
        <f>IFERROR(__xludf.DUMMYFUNCTION("""COMPUTED_VALUE"""),"http://www.unemat.br/reitoria/editora/downloads/eletronico/livro_teoria_literaria_I_UAB-E_book.pdf")</f>
        <v>http://www.unemat.br/reitoria/editora/downloads/eletronico/livro_teoria_literaria_I_UAB-E_book.pdf</v>
      </c>
      <c r="I444" s="24" t="str">
        <f>IFERROR(__xludf.DUMMYFUNCTION("""COMPUTED_VALUE"""),"Lingüística Letras e Artes")</f>
        <v>Lingüística Letras e Artes</v>
      </c>
    </row>
    <row r="445">
      <c r="A445" s="24" t="str">
        <f>IFERROR(__xludf.DUMMYFUNCTION("""COMPUTED_VALUE"""),"Teorias do Amor")</f>
        <v>Teorias do Amor</v>
      </c>
      <c r="B445" s="24" t="str">
        <f>IFERROR(__xludf.DUMMYFUNCTION("""COMPUTED_VALUE"""),"Alyne Brandão Alves")</f>
        <v>Alyne Brandão Alves</v>
      </c>
      <c r="C445" s="24" t="str">
        <f>IFERROR(__xludf.DUMMYFUNCTION("""COMPUTED_VALUE"""),"Rio Branco")</f>
        <v>Rio Branco</v>
      </c>
      <c r="D445" s="24" t="str">
        <f>IFERROR(__xludf.DUMMYFUNCTION("""COMPUTED_VALUE"""),"Edufac")</f>
        <v>Edufac</v>
      </c>
      <c r="E445" s="25">
        <f>IFERROR(__xludf.DUMMYFUNCTION("""COMPUTED_VALUE"""),2019.0)</f>
        <v>2019</v>
      </c>
      <c r="F445" s="24" t="str">
        <f>IFERROR(__xludf.DUMMYFUNCTION("""COMPUTED_VALUE"""),"Poesia; Poema; Literatura brasileira")</f>
        <v>Poesia; Poema; Literatura brasileira</v>
      </c>
      <c r="G445" s="28" t="str">
        <f>IFERROR(__xludf.DUMMYFUNCTION("""COMPUTED_VALUE"""),"9788582361085")</f>
        <v>9788582361085</v>
      </c>
      <c r="H445" s="29" t="str">
        <f>IFERROR(__xludf.DUMMYFUNCTION("""COMPUTED_VALUE"""),"http://www2.ufac.br/editora/livros/TeoriasAmor.pdf")</f>
        <v>http://www2.ufac.br/editora/livros/TeoriasAmor.pdf</v>
      </c>
      <c r="I445" s="24" t="str">
        <f>IFERROR(__xludf.DUMMYFUNCTION("""COMPUTED_VALUE"""),"Lingüística Letras e Artes")</f>
        <v>Lingüística Letras e Artes</v>
      </c>
    </row>
    <row r="446">
      <c r="A446" s="24" t="str">
        <f>IFERROR(__xludf.DUMMYFUNCTION("""COMPUTED_VALUE"""),"Terra madura, yvy araguyje: fundamento da palavra guarani")</f>
        <v>Terra madura, yvy araguyje: fundamento da palavra guarani</v>
      </c>
      <c r="B446" s="24" t="str">
        <f>IFERROR(__xludf.DUMMYFUNCTION("""COMPUTED_VALUE"""),"Graciela Chamorro")</f>
        <v>Graciela Chamorro</v>
      </c>
      <c r="C446" s="24" t="str">
        <f>IFERROR(__xludf.DUMMYFUNCTION("""COMPUTED_VALUE"""),"Dourados, MS")</f>
        <v>Dourados, MS</v>
      </c>
      <c r="D446" s="24" t="str">
        <f>IFERROR(__xludf.DUMMYFUNCTION("""COMPUTED_VALUE"""),"Editora da UFGD")</f>
        <v>Editora da UFGD</v>
      </c>
      <c r="E446" s="25">
        <f>IFERROR(__xludf.DUMMYFUNCTION("""COMPUTED_VALUE"""),2008.0)</f>
        <v>2008</v>
      </c>
      <c r="F446" s="24" t="str">
        <f>IFERROR(__xludf.DUMMYFUNCTION("""COMPUTED_VALUE"""),"Índios Guarani – Aspectos religiosos; Teologia indígena; Índios Guarani – Missões religiosas; Interculturalidade")</f>
        <v>Índios Guarani – Aspectos religiosos; Teologia indígena; Índios Guarani – Missões religiosas; Interculturalidade</v>
      </c>
      <c r="G446" s="28" t="str">
        <f>IFERROR(__xludf.DUMMYFUNCTION("""COMPUTED_VALUE"""),"9788561228088")</f>
        <v>9788561228088</v>
      </c>
      <c r="H446" s="29" t="str">
        <f>IFERROR(__xludf.DUMMYFUNCTION("""COMPUTED_VALUE"""),"http://omp.ufgd.edu.br/omp/index.php/livrosabertos/catalog/view/40/30/95-1")</f>
        <v>http://omp.ufgd.edu.br/omp/index.php/livrosabertos/catalog/view/40/30/95-1</v>
      </c>
      <c r="I446" s="24" t="str">
        <f>IFERROR(__xludf.DUMMYFUNCTION("""COMPUTED_VALUE"""),"Lingüística Letras e Artes")</f>
        <v>Lingüística Letras e Artes</v>
      </c>
    </row>
    <row r="447">
      <c r="A447" s="24" t="str">
        <f>IFERROR(__xludf.DUMMYFUNCTION("""COMPUTED_VALUE"""),"Textualidades contemporâneas: palavra, imagem, cultura")</f>
        <v>Textualidades contemporâneas: palavra, imagem, cultura</v>
      </c>
      <c r="B447" s="24" t="str">
        <f>IFERROR(__xludf.DUMMYFUNCTION("""COMPUTED_VALUE"""),"Júlia Almeida")</f>
        <v>Júlia Almeida</v>
      </c>
      <c r="C447" s="24" t="str">
        <f>IFERROR(__xludf.DUMMYFUNCTION("""COMPUTED_VALUE"""),"Vitória")</f>
        <v>Vitória</v>
      </c>
      <c r="D447" s="24" t="str">
        <f>IFERROR(__xludf.DUMMYFUNCTION("""COMPUTED_VALUE"""),"EDUFES")</f>
        <v>EDUFES</v>
      </c>
      <c r="E447" s="25">
        <f>IFERROR(__xludf.DUMMYFUNCTION("""COMPUTED_VALUE"""),2012.0)</f>
        <v>2012</v>
      </c>
      <c r="F447" s="24" t="str">
        <f>IFERROR(__xludf.DUMMYFUNCTION("""COMPUTED_VALUE"""),"Arte; Semiótica; Literatura")</f>
        <v>Arte; Semiótica; Literatura</v>
      </c>
      <c r="G447" s="28" t="str">
        <f>IFERROR(__xludf.DUMMYFUNCTION("""COMPUTED_VALUE"""),"9788577721726")</f>
        <v>9788577721726</v>
      </c>
      <c r="H447" s="29" t="str">
        <f>IFERROR(__xludf.DUMMYFUNCTION("""COMPUTED_VALUE"""),"http://repositorio.ufes.br/handle/10/832")</f>
        <v>http://repositorio.ufes.br/handle/10/832</v>
      </c>
      <c r="I447" s="24" t="str">
        <f>IFERROR(__xludf.DUMMYFUNCTION("""COMPUTED_VALUE"""),"Lingüística Letras e Artes")</f>
        <v>Lingüística Letras e Artes</v>
      </c>
    </row>
    <row r="448">
      <c r="A448" s="24" t="str">
        <f>IFERROR(__xludf.DUMMYFUNCTION("""COMPUTED_VALUE"""),"Textualidades indígenas watunna: mitologia makiritare")</f>
        <v>Textualidades indígenas watunna: mitologia makiritare</v>
      </c>
      <c r="B448" s="24" t="str">
        <f>IFERROR(__xludf.DUMMYFUNCTION("""COMPUTED_VALUE"""),"Isabel Maria Fonseca")</f>
        <v>Isabel Maria Fonseca</v>
      </c>
      <c r="C448" s="24" t="str">
        <f>IFERROR(__xludf.DUMMYFUNCTION("""COMPUTED_VALUE"""),"Boa Vista ")</f>
        <v>Boa Vista </v>
      </c>
      <c r="D448" s="24" t="str">
        <f>IFERROR(__xludf.DUMMYFUNCTION("""COMPUTED_VALUE"""),"UFRR")</f>
        <v>UFRR</v>
      </c>
      <c r="E448" s="25">
        <f>IFERROR(__xludf.DUMMYFUNCTION("""COMPUTED_VALUE"""),2017.0)</f>
        <v>2017</v>
      </c>
      <c r="F448" s="24" t="str">
        <f>IFERROR(__xludf.DUMMYFUNCTION("""COMPUTED_VALUE"""),"Cultura; Literatura indígena; Watunna; Mitologia")</f>
        <v>Cultura; Literatura indígena; Watunna; Mitologia</v>
      </c>
      <c r="G448" s="28" t="str">
        <f>IFERROR(__xludf.DUMMYFUNCTION("""COMPUTED_VALUE"""),"9788582882443")</f>
        <v>9788582882443</v>
      </c>
      <c r="H448" s="29" t="str">
        <f>IFERROR(__xludf.DUMMYFUNCTION("""COMPUTED_VALUE"""),"http://ufrr.br/editora/index.php/editais?download=432")</f>
        <v>http://ufrr.br/editora/index.php/editais?download=432</v>
      </c>
      <c r="I448" s="24" t="str">
        <f>IFERROR(__xludf.DUMMYFUNCTION("""COMPUTED_VALUE"""),"Lingüística Letras e Artes")</f>
        <v>Lingüística Letras e Artes</v>
      </c>
    </row>
    <row r="449">
      <c r="A449" s="24" t="str">
        <f>IFERROR(__xludf.DUMMYFUNCTION("""COMPUTED_VALUE"""),"Todos os poemas: o poema")</f>
        <v>Todos os poemas: o poema</v>
      </c>
      <c r="B449" s="24" t="str">
        <f>IFERROR(__xludf.DUMMYFUNCTION("""COMPUTED_VALUE"""),"Alexandre Curtiss, Raimundo Carvalho e Wilberth Salgueiro, organizadores")</f>
        <v>Alexandre Curtiss, Raimundo Carvalho e Wilberth Salgueiro, organizadores</v>
      </c>
      <c r="C449" s="24" t="str">
        <f>IFERROR(__xludf.DUMMYFUNCTION("""COMPUTED_VALUE"""),"Vitória")</f>
        <v>Vitória</v>
      </c>
      <c r="D449" s="24" t="str">
        <f>IFERROR(__xludf.DUMMYFUNCTION("""COMPUTED_VALUE"""),"EDUFES")</f>
        <v>EDUFES</v>
      </c>
      <c r="E449" s="25">
        <f>IFERROR(__xludf.DUMMYFUNCTION("""COMPUTED_VALUE"""),2016.0)</f>
        <v>2016</v>
      </c>
      <c r="F449" s="24" t="str">
        <f>IFERROR(__xludf.DUMMYFUNCTION("""COMPUTED_VALUE"""),"Poema; História e crítica; Poesia")</f>
        <v>Poema; História e crítica; Poesia</v>
      </c>
      <c r="G449" s="28" t="str">
        <f>IFERROR(__xludf.DUMMYFUNCTION("""COMPUTED_VALUE"""),"9788577722402")</f>
        <v>9788577722402</v>
      </c>
      <c r="H449" s="29" t="str">
        <f>IFERROR(__xludf.DUMMYFUNCTION("""COMPUTED_VALUE"""),"http://repositorio.ufes.br/handle/10/1900")</f>
        <v>http://repositorio.ufes.br/handle/10/1900</v>
      </c>
      <c r="I449" s="24" t="str">
        <f>IFERROR(__xludf.DUMMYFUNCTION("""COMPUTED_VALUE"""),"Lingüística Letras e Artes")</f>
        <v>Lingüística Letras e Artes</v>
      </c>
    </row>
    <row r="450">
      <c r="A450" s="24" t="str">
        <f>IFERROR(__xludf.DUMMYFUNCTION("""COMPUTED_VALUE"""),"Tolices Românticas &amp; Outros Poemas")</f>
        <v>Tolices Românticas &amp; Outros Poemas</v>
      </c>
      <c r="B450" s="24" t="str">
        <f>IFERROR(__xludf.DUMMYFUNCTION("""COMPUTED_VALUE"""),"Cláudio Cândido")</f>
        <v>Cláudio Cândido</v>
      </c>
      <c r="C450" s="24" t="str">
        <f>IFERROR(__xludf.DUMMYFUNCTION("""COMPUTED_VALUE"""),"Rio Branco")</f>
        <v>Rio Branco</v>
      </c>
      <c r="D450" s="24" t="str">
        <f>IFERROR(__xludf.DUMMYFUNCTION("""COMPUTED_VALUE"""),"Edufac")</f>
        <v>Edufac</v>
      </c>
      <c r="E450" s="25">
        <f>IFERROR(__xludf.DUMMYFUNCTION("""COMPUTED_VALUE"""),2018.0)</f>
        <v>2018</v>
      </c>
      <c r="F450" s="24" t="str">
        <f>IFERROR(__xludf.DUMMYFUNCTION("""COMPUTED_VALUE"""),"Literatura brasileira – Poemas; Poemas")</f>
        <v>Literatura brasileira – Poemas; Poemas</v>
      </c>
      <c r="G450" s="28" t="str">
        <f>IFERROR(__xludf.DUMMYFUNCTION("""COMPUTED_VALUE"""),"9788582360798")</f>
        <v>9788582360798</v>
      </c>
      <c r="H450" s="29" t="str">
        <f>IFERROR(__xludf.DUMMYFUNCTION("""COMPUTED_VALUE"""),"http://www2.ufac.br/editora/livros/tolicesromanticas.pdf")</f>
        <v>http://www2.ufac.br/editora/livros/tolicesromanticas.pdf</v>
      </c>
      <c r="I450" s="24" t="str">
        <f>IFERROR(__xludf.DUMMYFUNCTION("""COMPUTED_VALUE"""),"Lingüística Letras e Artes")</f>
        <v>Lingüística Letras e Artes</v>
      </c>
    </row>
    <row r="451">
      <c r="A451" s="24" t="str">
        <f>IFERROR(__xludf.DUMMYFUNCTION("""COMPUTED_VALUE"""),"Tonico descobre que é de todo lugar")</f>
        <v>Tonico descobre que é de todo lugar</v>
      </c>
      <c r="B451" s="24" t="str">
        <f>IFERROR(__xludf.DUMMYFUNCTION("""COMPUTED_VALUE"""),"Maria Luiza Silva Santos; ilustração Carolina Sartório. ")</f>
        <v>Maria Luiza Silva Santos; ilustração Carolina Sartório. </v>
      </c>
      <c r="C451" s="24" t="str">
        <f>IFERROR(__xludf.DUMMYFUNCTION("""COMPUTED_VALUE"""),"Ilhéus, BA")</f>
        <v>Ilhéus, BA</v>
      </c>
      <c r="D451" s="24" t="str">
        <f>IFERROR(__xludf.DUMMYFUNCTION("""COMPUTED_VALUE"""),"Editus")</f>
        <v>Editus</v>
      </c>
      <c r="E451" s="25">
        <f>IFERROR(__xludf.DUMMYFUNCTION("""COMPUTED_VALUE"""),2014.0)</f>
        <v>2014</v>
      </c>
      <c r="F451" s="24" t="str">
        <f>IFERROR(__xludf.DUMMYFUNCTION("""COMPUTED_VALUE"""),"Literatura infanto-juvenil. I. Sartório, Carolina")</f>
        <v>Literatura infanto-juvenil. I. Sartório, Carolina</v>
      </c>
      <c r="G451" s="28" t="str">
        <f>IFERROR(__xludf.DUMMYFUNCTION("""COMPUTED_VALUE"""),"9788574553733")</f>
        <v>9788574553733</v>
      </c>
      <c r="H451" s="29" t="str">
        <f>IFERROR(__xludf.DUMMYFUNCTION("""COMPUTED_VALUE"""),"http://www.uesc.br/editora/livrosdigitais2017/tonico_descobre_que_e_de_todo_lugar.pdf")</f>
        <v>http://www.uesc.br/editora/livrosdigitais2017/tonico_descobre_que_e_de_todo_lugar.pdf</v>
      </c>
      <c r="I451" s="24" t="str">
        <f>IFERROR(__xludf.DUMMYFUNCTION("""COMPUTED_VALUE"""),"Lingüística Letras e Artes")</f>
        <v>Lingüística Letras e Artes</v>
      </c>
    </row>
    <row r="452">
      <c r="A452" s="24" t="str">
        <f>IFERROR(__xludf.DUMMYFUNCTION("""COMPUTED_VALUE"""),"Traços de um outro mapa: literatura contemporânea nas Américas")</f>
        <v>Traços de um outro mapa: literatura contemporânea nas Américas</v>
      </c>
      <c r="B452" s="24" t="str">
        <f>IFERROR(__xludf.DUMMYFUNCTION("""COMPUTED_VALUE"""),"Alexandre Moraes, Rafaela Scardino (org.)")</f>
        <v>Alexandre Moraes, Rafaela Scardino (org.)</v>
      </c>
      <c r="C452" s="24" t="str">
        <f>IFERROR(__xludf.DUMMYFUNCTION("""COMPUTED_VALUE"""),"Vitória")</f>
        <v>Vitória</v>
      </c>
      <c r="D452" s="24" t="str">
        <f>IFERROR(__xludf.DUMMYFUNCTION("""COMPUTED_VALUE"""),"EDUFES")</f>
        <v>EDUFES</v>
      </c>
      <c r="E452" s="25">
        <f>IFERROR(__xludf.DUMMYFUNCTION("""COMPUTED_VALUE"""),2013.0)</f>
        <v>2013</v>
      </c>
      <c r="F452" s="24" t="str">
        <f>IFERROR(__xludf.DUMMYFUNCTION("""COMPUTED_VALUE"""),"Literatura; História; Crítica")</f>
        <v>Literatura; História; Crítica</v>
      </c>
      <c r="G452" s="28" t="str">
        <f>IFERROR(__xludf.DUMMYFUNCTION("""COMPUTED_VALUE"""),"9788577721672")</f>
        <v>9788577721672</v>
      </c>
      <c r="H452" s="29" t="str">
        <f>IFERROR(__xludf.DUMMYFUNCTION("""COMPUTED_VALUE"""),"http://repositorio.ufes.br/bitstream/10/1136/1/livro%20Edufes%20tra%C3%A7os%20de%20um%20outro%20mapa%20%20literatura%20contempor%C3%A2nea%20nas%20Am%C3%A9ricas.pdf")</f>
        <v>http://repositorio.ufes.br/bitstream/10/1136/1/livro%20Edufes%20tra%C3%A7os%20de%20um%20outro%20mapa%20%20literatura%20contempor%C3%A2nea%20nas%20Am%C3%A9ricas.pdf</v>
      </c>
      <c r="I452" s="24" t="str">
        <f>IFERROR(__xludf.DUMMYFUNCTION("""COMPUTED_VALUE"""),"Lingüística Letras e Artes")</f>
        <v>Lingüística Letras e Artes</v>
      </c>
    </row>
    <row r="453">
      <c r="A453" s="24" t="str">
        <f>IFERROR(__xludf.DUMMYFUNCTION("""COMPUTED_VALUE"""),"Traços: projeções poéticas")</f>
        <v>Traços: projeções poéticas</v>
      </c>
      <c r="B453" s="24" t="str">
        <f>IFERROR(__xludf.DUMMYFUNCTION("""COMPUTED_VALUE"""),"Teotônio J. Roque")</f>
        <v>Teotônio J. Roque</v>
      </c>
      <c r="C453" s="24" t="str">
        <f>IFERROR(__xludf.DUMMYFUNCTION("""COMPUTED_VALUE"""),"João Pessoa")</f>
        <v>João Pessoa</v>
      </c>
      <c r="D453" s="24" t="str">
        <f>IFERROR(__xludf.DUMMYFUNCTION("""COMPUTED_VALUE"""),"Editora IFPB")</f>
        <v>Editora IFPB</v>
      </c>
      <c r="E453" s="25">
        <f>IFERROR(__xludf.DUMMYFUNCTION("""COMPUTED_VALUE"""),2019.0)</f>
        <v>2019</v>
      </c>
      <c r="F453" s="24" t="str">
        <f>IFERROR(__xludf.DUMMYFUNCTION("""COMPUTED_VALUE"""),"Poesia; Projeções poéticas; Momentos")</f>
        <v>Poesia; Projeções poéticas; Momentos</v>
      </c>
      <c r="G453" s="28" t="str">
        <f>IFERROR(__xludf.DUMMYFUNCTION("""COMPUTED_VALUE"""),"9788554885229")</f>
        <v>9788554885229</v>
      </c>
      <c r="H453" s="29" t="str">
        <f>IFERROR(__xludf.DUMMYFUNCTION("""COMPUTED_VALUE"""),"http://editora.ifpb.edu.br/index.php/ifpb/catalog/book/352")</f>
        <v>http://editora.ifpb.edu.br/index.php/ifpb/catalog/book/352</v>
      </c>
      <c r="I453" s="24" t="str">
        <f>IFERROR(__xludf.DUMMYFUNCTION("""COMPUTED_VALUE"""),"Lingüística Letras e Artes")</f>
        <v>Lingüística Letras e Artes</v>
      </c>
    </row>
    <row r="454">
      <c r="A454" s="24" t="str">
        <f>IFERROR(__xludf.DUMMYFUNCTION("""COMPUTED_VALUE"""),"Tradução na sala de aula: ensaios de teoria e prática de tradução")</f>
        <v>Tradução na sala de aula: ensaios de teoria e prática de tradução</v>
      </c>
      <c r="B454" s="24" t="str">
        <f>IFERROR(__xludf.DUMMYFUNCTION("""COMPUTED_VALUE"""),"Alice Maria de Araújo Ferreira, Germana Henriques Pereirade Sousa, Sabine Gorovitz,(organizadoras)")</f>
        <v>Alice Maria de Araújo Ferreira, Germana Henriques Pereirade Sousa, Sabine Gorovitz,(organizadoras)</v>
      </c>
      <c r="C454" s="24" t="str">
        <f>IFERROR(__xludf.DUMMYFUNCTION("""COMPUTED_VALUE"""),"Brasília")</f>
        <v>Brasília</v>
      </c>
      <c r="D454" s="24" t="str">
        <f>IFERROR(__xludf.DUMMYFUNCTION("""COMPUTED_VALUE"""),"Editora Universidade de Brasília")</f>
        <v>Editora Universidade de Brasília</v>
      </c>
      <c r="E454" s="25">
        <f>IFERROR(__xludf.DUMMYFUNCTION("""COMPUTED_VALUE"""),2018.0)</f>
        <v>2018</v>
      </c>
      <c r="F454" s="24" t="str">
        <f>IFERROR(__xludf.DUMMYFUNCTION("""COMPUTED_VALUE"""),"Tradução – Didática; Tradução – Estudo e Ensino")</f>
        <v>Tradução – Didática; Tradução – Estudo e Ensino</v>
      </c>
      <c r="G454" s="28" t="str">
        <f>IFERROR(__xludf.DUMMYFUNCTION("""COMPUTED_VALUE"""),"9788523012458")</f>
        <v>9788523012458</v>
      </c>
      <c r="H454" s="29" t="str">
        <f>IFERROR(__xludf.DUMMYFUNCTION("""COMPUTED_VALUE"""),"https://livros.unb.br/index.php/portal/catalog/view/10.265129788523012458/12/53-1")</f>
        <v>https://livros.unb.br/index.php/portal/catalog/view/10.265129788523012458/12/53-1</v>
      </c>
      <c r="I454" s="24" t="str">
        <f>IFERROR(__xludf.DUMMYFUNCTION("""COMPUTED_VALUE"""),"Lingüística Letras e Artes")</f>
        <v>Lingüística Letras e Artes</v>
      </c>
    </row>
    <row r="455">
      <c r="A455" s="24" t="str">
        <f>IFERROR(__xludf.DUMMYFUNCTION("""COMPUTED_VALUE"""),"Transfazer o espaço: ensaios de como a literatura vira espaço e vice versa")</f>
        <v>Transfazer o espaço: ensaios de como a literatura vira espaço e vice versa</v>
      </c>
      <c r="B455" s="24" t="str">
        <f>IFERROR(__xludf.DUMMYFUNCTION("""COMPUTED_VALUE"""),"Adáuto de Oliveira Souza ... (et. al.).")</f>
        <v>Adáuto de Oliveira Souza ... (et. al.).</v>
      </c>
      <c r="C455" s="24" t="str">
        <f>IFERROR(__xludf.DUMMYFUNCTION("""COMPUTED_VALUE"""),"Dourados, MS")</f>
        <v>Dourados, MS</v>
      </c>
      <c r="D455" s="24" t="str">
        <f>IFERROR(__xludf.DUMMYFUNCTION("""COMPUTED_VALUE"""),"Ed. da UFGD")</f>
        <v>Ed. da UFGD</v>
      </c>
      <c r="E455" s="25">
        <f>IFERROR(__xludf.DUMMYFUNCTION("""COMPUTED_VALUE"""),2011.0)</f>
        <v>2011</v>
      </c>
      <c r="F455" s="24" t="str">
        <f>IFERROR(__xludf.DUMMYFUNCTION("""COMPUTED_VALUE"""),"Literatura – Ensaios; Literatura no espaço")</f>
        <v>Literatura – Ensaios; Literatura no espaço</v>
      </c>
      <c r="G455" s="28" t="str">
        <f>IFERROR(__xludf.DUMMYFUNCTION("""COMPUTED_VALUE"""),"9788561228729")</f>
        <v>9788561228729</v>
      </c>
      <c r="H455" s="29" t="str">
        <f>IFERROR(__xludf.DUMMYFUNCTION("""COMPUTED_VALUE"""),"http://omp.ufgd.edu.br/omp/index.php/livrosabertos/catalog/view/36/26/86-2")</f>
        <v>http://omp.ufgd.edu.br/omp/index.php/livrosabertos/catalog/view/36/26/86-2</v>
      </c>
      <c r="I455" s="24" t="str">
        <f>IFERROR(__xludf.DUMMYFUNCTION("""COMPUTED_VALUE"""),"Lingüística Letras e Artes")</f>
        <v>Lingüística Letras e Artes</v>
      </c>
    </row>
    <row r="456">
      <c r="A456" s="24" t="str">
        <f>IFERROR(__xludf.DUMMYFUNCTION("""COMPUTED_VALUE"""),"Trânsitos da voz: estudos de oralidade e literatura ")</f>
        <v>Trânsitos da voz: estudos de oralidade e literatura </v>
      </c>
      <c r="B456" s="24" t="str">
        <f>IFERROR(__xludf.DUMMYFUNCTION("""COMPUTED_VALUE"""),"Eudes Fernando Leite, Frederico Fernandes (org.)")</f>
        <v>Eudes Fernando Leite, Frederico Fernandes (org.)</v>
      </c>
      <c r="C456" s="24" t="str">
        <f>IFERROR(__xludf.DUMMYFUNCTION("""COMPUTED_VALUE"""),"Londrina, PR")</f>
        <v>Londrina, PR</v>
      </c>
      <c r="D456" s="24" t="str">
        <f>IFERROR(__xludf.DUMMYFUNCTION("""COMPUTED_VALUE"""),"EDUEL")</f>
        <v>EDUEL</v>
      </c>
      <c r="E456" s="25">
        <f>IFERROR(__xludf.DUMMYFUNCTION("""COMPUTED_VALUE"""),2012.0)</f>
        <v>2012</v>
      </c>
      <c r="F456" s="24" t="str">
        <f>IFERROR(__xludf.DUMMYFUNCTION("""COMPUTED_VALUE"""),"Análise do discurso narrativo; Comunicação oral; Narrativa oral; Tradição oral; Linguagem e cultura; Poesia oral; Literatura –História e crítica; Religião na literatura")</f>
        <v>Análise do discurso narrativo; Comunicação oral; Narrativa oral; Tradição oral; Linguagem e cultura; Poesia oral; Literatura –História e crítica; Religião na literatura</v>
      </c>
      <c r="G456" s="28" t="str">
        <f>IFERROR(__xludf.DUMMYFUNCTION("""COMPUTED_VALUE"""),"9788572166140 (EDUEL)/9788581470221(UFGD)")</f>
        <v>9788572166140 (EDUEL)/9788581470221(UFGD)</v>
      </c>
      <c r="H456" s="29" t="str">
        <f>IFERROR(__xludf.DUMMYFUNCTION("""COMPUTED_VALUE"""),"http://omp.ufgd.edu.br/omp/index.php/livrosabertos/catalog/view/20/18/59-1")</f>
        <v>http://omp.ufgd.edu.br/omp/index.php/livrosabertos/catalog/view/20/18/59-1</v>
      </c>
      <c r="I456" s="24" t="str">
        <f>IFERROR(__xludf.DUMMYFUNCTION("""COMPUTED_VALUE"""),"Lingüística Letras e Artes")</f>
        <v>Lingüística Letras e Artes</v>
      </c>
    </row>
    <row r="457">
      <c r="A457" s="24" t="str">
        <f>IFERROR(__xludf.DUMMYFUNCTION("""COMPUTED_VALUE"""),"Trânsitos literários: abordagens sobre a narrativa moderna")</f>
        <v>Trânsitos literários: abordagens sobre a narrativa moderna</v>
      </c>
      <c r="B457" s="24" t="str">
        <f>IFERROR(__xludf.DUMMYFUNCTION("""COMPUTED_VALUE"""),"Walnice Vilalva; Samuel Lima da Silva; Jeciane de Paula Oliveira (org.)")</f>
        <v>Walnice Vilalva; Samuel Lima da Silva; Jeciane de Paula Oliveira (org.)</v>
      </c>
      <c r="C457" s="24" t="str">
        <f>IFERROR(__xludf.DUMMYFUNCTION("""COMPUTED_VALUE"""),"Tangará da Serra")</f>
        <v>Tangará da Serra</v>
      </c>
      <c r="D457" s="24" t="str">
        <f>IFERROR(__xludf.DUMMYFUNCTION("""COMPUTED_VALUE"""),"UNEMAT")</f>
        <v>UNEMAT</v>
      </c>
      <c r="E457" s="25">
        <f>IFERROR(__xludf.DUMMYFUNCTION("""COMPUTED_VALUE"""),2019.0)</f>
        <v>2019</v>
      </c>
      <c r="F457" s="24" t="str">
        <f>IFERROR(__xludf.DUMMYFUNCTION("""COMPUTED_VALUE"""),"Letras; Literatura; Universidade do Estado de Mato Groso")</f>
        <v>Letras; Literatura; Universidade do Estado de Mato Groso</v>
      </c>
      <c r="G457" s="28" t="str">
        <f>IFERROR(__xludf.DUMMYFUNCTION("""COMPUTED_VALUE"""),"9788579112041")</f>
        <v>9788579112041</v>
      </c>
      <c r="H457" s="29" t="str">
        <f>IFERROR(__xludf.DUMMYFUNCTION("""COMPUTED_VALUE"""),"http://portal.unemat.br/media/files/Editora/PALAVRAS%20EM%20TR%C3%82NSITO.pdf")</f>
        <v>http://portal.unemat.br/media/files/Editora/PALAVRAS%20EM%20TR%C3%82NSITO.pdf</v>
      </c>
      <c r="I457" s="24" t="str">
        <f>IFERROR(__xludf.DUMMYFUNCTION("""COMPUTED_VALUE"""),"Lingüística Letras e Artes")</f>
        <v>Lingüística Letras e Artes</v>
      </c>
    </row>
    <row r="458">
      <c r="A458" s="24" t="str">
        <f>IFERROR(__xludf.DUMMYFUNCTION("""COMPUTED_VALUE"""),"Turí ne terenoehiko ")</f>
        <v>Turí ne terenoehiko </v>
      </c>
      <c r="B458" s="24" t="str">
        <f>IFERROR(__xludf.DUMMYFUNCTION("""COMPUTED_VALUE"""),"Comitê Editorial Cone Sul Ação SaberesIndígenas na Escola. ")</f>
        <v>Comitê Editorial Cone Sul Ação SaberesIndígenas na Escola. </v>
      </c>
      <c r="C458" s="24" t="str">
        <f>IFERROR(__xludf.DUMMYFUNCTION("""COMPUTED_VALUE"""),"Dourados, MS")</f>
        <v>Dourados, MS</v>
      </c>
      <c r="D458" s="24" t="str">
        <f>IFERROR(__xludf.DUMMYFUNCTION("""COMPUTED_VALUE"""),"Ed. Universidade Federal da Grande Dourados")</f>
        <v>Ed. Universidade Federal da Grande Dourados</v>
      </c>
      <c r="E458" s="25">
        <f>IFERROR(__xludf.DUMMYFUNCTION("""COMPUTED_VALUE"""),2018.0)</f>
        <v>2018</v>
      </c>
      <c r="F458" s="24" t="str">
        <f>IFERROR(__xludf.DUMMYFUNCTION("""COMPUTED_VALUE"""),"Literatura infantojuvenil indígena (Brasil); Índios Terena –Literatura infantojuvenil; Literatura infantojuvenil brasileira - Escritoresindígenas; Índios da América do Sul – Mitos e lendas")</f>
        <v>Literatura infantojuvenil indígena (Brasil); Índios Terena –Literatura infantojuvenil; Literatura infantojuvenil brasileira - Escritoresindígenas; Índios da América do Sul – Mitos e lendas</v>
      </c>
      <c r="G458" s="28" t="str">
        <f>IFERROR(__xludf.DUMMYFUNCTION("""COMPUTED_VALUE"""),"9788581471587")</f>
        <v>9788581471587</v>
      </c>
      <c r="H458" s="29" t="str">
        <f>IFERROR(__xludf.DUMMYFUNCTION("""COMPUTED_VALUE"""),"http://omp.ufgd.edu.br/omp/index.php/livrosabertos/catalog/view/206/248/541-1")</f>
        <v>http://omp.ufgd.edu.br/omp/index.php/livrosabertos/catalog/view/206/248/541-1</v>
      </c>
      <c r="I458" s="24" t="str">
        <f>IFERROR(__xludf.DUMMYFUNCTION("""COMPUTED_VALUE"""),"Lingüística Letras e Artes")</f>
        <v>Lingüística Letras e Artes</v>
      </c>
    </row>
    <row r="459">
      <c r="A459" s="24" t="str">
        <f>IFERROR(__xludf.DUMMYFUNCTION("""COMPUTED_VALUE"""),"Últimos Sonetos")</f>
        <v>Últimos Sonetos</v>
      </c>
      <c r="B459" s="24" t="str">
        <f>IFERROR(__xludf.DUMMYFUNCTION("""COMPUTED_VALUE"""),"Souza, Cruz e")</f>
        <v>Souza, Cruz e</v>
      </c>
      <c r="C459" s="24" t="str">
        <f>IFERROR(__xludf.DUMMYFUNCTION("""COMPUTED_VALUE"""),"Florianópolis")</f>
        <v>Florianópolis</v>
      </c>
      <c r="D459" s="24" t="str">
        <f>IFERROR(__xludf.DUMMYFUNCTION("""COMPUTED_VALUE"""),"Editora da UFSC")</f>
        <v>Editora da UFSC</v>
      </c>
      <c r="E459" s="25">
        <f>IFERROR(__xludf.DUMMYFUNCTION("""COMPUTED_VALUE"""),2011.0)</f>
        <v>2011</v>
      </c>
      <c r="F459" s="24" t="str">
        <f>IFERROR(__xludf.DUMMYFUNCTION("""COMPUTED_VALUE"""),"Literatura brasileira;Poesia catarinense")</f>
        <v>Literatura brasileira;Poesia catarinense</v>
      </c>
      <c r="G459" s="28" t="str">
        <f>IFERROR(__xludf.DUMMYFUNCTION("""COMPUTED_VALUE"""),"9788532805553")</f>
        <v>9788532805553</v>
      </c>
      <c r="H459" s="29" t="str">
        <f>IFERROR(__xludf.DUMMYFUNCTION("""COMPUTED_VALUE"""),"https://repositorio.ufsc.br/handle/123456789/187930")</f>
        <v>https://repositorio.ufsc.br/handle/123456789/187930</v>
      </c>
      <c r="I459" s="24" t="str">
        <f>IFERROR(__xludf.DUMMYFUNCTION("""COMPUTED_VALUE"""),"Lingüística Letras e Artes")</f>
        <v>Lingüística Letras e Artes</v>
      </c>
    </row>
    <row r="460">
      <c r="A460" s="24" t="str">
        <f>IFERROR(__xludf.DUMMYFUNCTION("""COMPUTED_VALUE"""),"Um enlace de três: Augusto Campos, Ana Cristina Cesar e Arnaldo Antunes à luz da visualidade")</f>
        <v>Um enlace de três: Augusto Campos, Ana Cristina Cesar e Arnaldo Antunes à luz da visualidade</v>
      </c>
      <c r="B460" s="24" t="str">
        <f>IFERROR(__xludf.DUMMYFUNCTION("""COMPUTED_VALUE"""),"Douglas Salomão")</f>
        <v>Douglas Salomão</v>
      </c>
      <c r="C460" s="24" t="str">
        <f>IFERROR(__xludf.DUMMYFUNCTION("""COMPUTED_VALUE"""),"Vitória")</f>
        <v>Vitória</v>
      </c>
      <c r="D460" s="24" t="str">
        <f>IFERROR(__xludf.DUMMYFUNCTION("""COMPUTED_VALUE"""),"EDUFES")</f>
        <v>EDUFES</v>
      </c>
      <c r="E460" s="25">
        <f>IFERROR(__xludf.DUMMYFUNCTION("""COMPUTED_VALUE"""),2012.0)</f>
        <v>2012</v>
      </c>
      <c r="F460" s="24" t="str">
        <f>IFERROR(__xludf.DUMMYFUNCTION("""COMPUTED_VALUE"""),"Crítica e interpretação; Poesia; Poesia brasileira")</f>
        <v>Crítica e interpretação; Poesia; Poesia brasileira</v>
      </c>
      <c r="G460" s="28" t="str">
        <f>IFERROR(__xludf.DUMMYFUNCTION("""COMPUTED_VALUE"""),"9788577721245")</f>
        <v>9788577721245</v>
      </c>
      <c r="H460" s="29" t="str">
        <f>IFERROR(__xludf.DUMMYFUNCTION("""COMPUTED_VALUE"""),"http://repositorio.ufes.br/bitstream/10/791/1/livro%20edufes%20um%20enlace%20de%20tr%C3%AAs%20Augusto%20de%20Campos%20Ana%20Cristina%20Cesar%20e%20arnaldo%20antunes%20a%20luz%20da%20visualidade.pdf")</f>
        <v>http://repositorio.ufes.br/bitstream/10/791/1/livro%20edufes%20um%20enlace%20de%20tr%C3%AAs%20Augusto%20de%20Campos%20Ana%20Cristina%20Cesar%20e%20arnaldo%20antunes%20a%20luz%20da%20visualidade.pdf</v>
      </c>
      <c r="I460" s="24" t="str">
        <f>IFERROR(__xludf.DUMMYFUNCTION("""COMPUTED_VALUE"""),"Lingüística Letras e Artes")</f>
        <v>Lingüística Letras e Artes</v>
      </c>
    </row>
    <row r="461">
      <c r="A461" s="24" t="str">
        <f>IFERROR(__xludf.DUMMYFUNCTION("""COMPUTED_VALUE"""),"Um quintal e outros cantos")</f>
        <v>Um quintal e outros cantos</v>
      </c>
      <c r="B461" s="24" t="str">
        <f>IFERROR(__xludf.DUMMYFUNCTION("""COMPUTED_VALUE"""),"Natan Barreto")</f>
        <v>Natan Barreto</v>
      </c>
      <c r="C461" s="24" t="str">
        <f>IFERROR(__xludf.DUMMYFUNCTION("""COMPUTED_VALUE"""),"Ilhéus, BA")</f>
        <v>Ilhéus, BA</v>
      </c>
      <c r="D461" s="24" t="str">
        <f>IFERROR(__xludf.DUMMYFUNCTION("""COMPUTED_VALUE"""),"Editus")</f>
        <v>Editus</v>
      </c>
      <c r="E461" s="25">
        <f>IFERROR(__xludf.DUMMYFUNCTION("""COMPUTED_VALUE"""),2018.0)</f>
        <v>2018</v>
      </c>
      <c r="F461" s="24" t="str">
        <f>IFERROR(__xludf.DUMMYFUNCTION("""COMPUTED_VALUE"""),"Poesia brasileira; Poesia – Bahia; Escritores brasileiros")</f>
        <v>Poesia brasileira; Poesia – Bahia; Escritores brasileiros</v>
      </c>
      <c r="G461" s="28" t="str">
        <f>IFERROR(__xludf.DUMMYFUNCTION("""COMPUTED_VALUE"""),"9788574554792")</f>
        <v>9788574554792</v>
      </c>
      <c r="H461" s="29" t="str">
        <f>IFERROR(__xludf.DUMMYFUNCTION("""COMPUTED_VALUE"""),"http://www.uesc.br/editora/livrosdigitais2019/um_quintal_e_outros_cantos.pdf")</f>
        <v>http://www.uesc.br/editora/livrosdigitais2019/um_quintal_e_outros_cantos.pdf</v>
      </c>
      <c r="I461" s="24" t="str">
        <f>IFERROR(__xludf.DUMMYFUNCTION("""COMPUTED_VALUE"""),"Lingüística Letras e Artes")</f>
        <v>Lingüística Letras e Artes</v>
      </c>
    </row>
    <row r="462">
      <c r="A462" s="24" t="str">
        <f>IFERROR(__xludf.DUMMYFUNCTION("""COMPUTED_VALUE"""),"Um toque de Voyeurismo: o diário íntimo de Couto de Magalhães (1880-1887)")</f>
        <v>Um toque de Voyeurismo: o diário íntimo de Couto de Magalhães (1880-1887)</v>
      </c>
      <c r="B462" s="24" t="str">
        <f>IFERROR(__xludf.DUMMYFUNCTION("""COMPUTED_VALUE"""),"Márcio Couto Henrique (Organização)")</f>
        <v>Márcio Couto Henrique (Organização)</v>
      </c>
      <c r="C462" s="24" t="str">
        <f>IFERROR(__xludf.DUMMYFUNCTION("""COMPUTED_VALUE"""),"Rio de Janeiro")</f>
        <v>Rio de Janeiro</v>
      </c>
      <c r="D462" s="24" t="str">
        <f>IFERROR(__xludf.DUMMYFUNCTION("""COMPUTED_VALUE"""),"EdUERJ")</f>
        <v>EdUERJ</v>
      </c>
      <c r="E462" s="25">
        <f>IFERROR(__xludf.DUMMYFUNCTION("""COMPUTED_VALUE"""),2009.0)</f>
        <v>2009</v>
      </c>
      <c r="F462" s="24" t="str">
        <f>IFERROR(__xludf.DUMMYFUNCTION("""COMPUTED_VALUE"""),"Couto de Magalhães; Diário; Intimidade")</f>
        <v>Couto de Magalhães; Diário; Intimidade</v>
      </c>
      <c r="G462" s="28" t="str">
        <f>IFERROR(__xludf.DUMMYFUNCTION("""COMPUTED_VALUE"""),"9788575111482")</f>
        <v>9788575111482</v>
      </c>
      <c r="H462" s="29" t="str">
        <f>IFERROR(__xludf.DUMMYFUNCTION("""COMPUTED_VALUE"""),"https://www.eduerj.com/eng/?product=um-toque-de-voyeurismo-o-diario-intimo-de-couto-de-magalhaes-1880-1887")</f>
        <v>https://www.eduerj.com/eng/?product=um-toque-de-voyeurismo-o-diario-intimo-de-couto-de-magalhaes-1880-1887</v>
      </c>
      <c r="I462" s="24" t="str">
        <f>IFERROR(__xludf.DUMMYFUNCTION("""COMPUTED_VALUE"""),"Lingüística Letras e Artes")</f>
        <v>Lingüística Letras e Artes</v>
      </c>
    </row>
    <row r="463">
      <c r="A463" s="24" t="str">
        <f>IFERROR(__xludf.DUMMYFUNCTION("""COMPUTED_VALUE"""),"Uma literatura inquieta: memória, ficção, mercado, ética")</f>
        <v>Uma literatura inquieta: memória, ficção, mercado, ética</v>
      </c>
      <c r="B463" s="24" t="str">
        <f>IFERROR(__xludf.DUMMYFUNCTION("""COMPUTED_VALUE"""),"Lucia Helena e Paulo César S. Oliveira (Orgs.)")</f>
        <v>Lucia Helena e Paulo César S. Oliveira (Orgs.)</v>
      </c>
      <c r="C463" s="24" t="str">
        <f>IFERROR(__xludf.DUMMYFUNCTION("""COMPUTED_VALUE"""),"Rio de Janeiro")</f>
        <v>Rio de Janeiro</v>
      </c>
      <c r="D463" s="24" t="str">
        <f>IFERROR(__xludf.DUMMYFUNCTION("""COMPUTED_VALUE"""),"Editora Caetés")</f>
        <v>Editora Caetés</v>
      </c>
      <c r="E463" s="25">
        <f>IFERROR(__xludf.DUMMYFUNCTION("""COMPUTED_VALUE"""),2016.0)</f>
        <v>2016</v>
      </c>
      <c r="F463" s="24" t="str">
        <f>IFERROR(__xludf.DUMMYFUNCTION("""COMPUTED_VALUE"""),"Literatura; Memória; Ficção; Mercado; Ética")</f>
        <v>Literatura; Memória; Ficção; Mercado; Ética</v>
      </c>
      <c r="G463" s="28" t="str">
        <f>IFERROR(__xludf.DUMMYFUNCTION("""COMPUTED_VALUE"""),"9788586478970")</f>
        <v>9788586478970</v>
      </c>
      <c r="H463" s="29" t="str">
        <f>IFERROR(__xludf.DUMMYFUNCTION("""COMPUTED_VALUE"""),"https://www.eduerj.com/eng/?product=uma-literatura-inquieta-memoria-ficcao-mercado-etica")</f>
        <v>https://www.eduerj.com/eng/?product=uma-literatura-inquieta-memoria-ficcao-mercado-etica</v>
      </c>
      <c r="I463" s="24" t="str">
        <f>IFERROR(__xludf.DUMMYFUNCTION("""COMPUTED_VALUE"""),"Lingüística Letras e Artes")</f>
        <v>Lingüística Letras e Artes</v>
      </c>
    </row>
    <row r="464">
      <c r="A464" s="24" t="str">
        <f>IFERROR(__xludf.DUMMYFUNCTION("""COMPUTED_VALUE"""),"Uma poética do deslimite: poema e imagem na obra de Manoel de Barros. ")</f>
        <v>Uma poética do deslimite: poema e imagem na obra de Manoel de Barros. </v>
      </c>
      <c r="B464" s="24" t="str">
        <f>IFERROR(__xludf.DUMMYFUNCTION("""COMPUTED_VALUE"""),"Renato Suttana")</f>
        <v>Renato Suttana</v>
      </c>
      <c r="C464" s="24" t="str">
        <f>IFERROR(__xludf.DUMMYFUNCTION("""COMPUTED_VALUE"""),"Dourados, MS")</f>
        <v>Dourados, MS</v>
      </c>
      <c r="D464" s="24" t="str">
        <f>IFERROR(__xludf.DUMMYFUNCTION("""COMPUTED_VALUE"""),"Ed. da UFGD")</f>
        <v>Ed. da UFGD</v>
      </c>
      <c r="E464" s="25">
        <f>IFERROR(__xludf.DUMMYFUNCTION("""COMPUTED_VALUE"""),2009.0)</f>
        <v>2009</v>
      </c>
      <c r="F464" s="24" t="str">
        <f>IFERROR(__xludf.DUMMYFUNCTION("""COMPUTED_VALUE"""),"Poesia brasileira; Manoel de Barros – Crítica e interpretação; Manoel de Barros – Imagem poética")</f>
        <v>Poesia brasileira; Manoel de Barros – Crítica e interpretação; Manoel de Barros – Imagem poética</v>
      </c>
      <c r="G464" s="28" t="str">
        <f>IFERROR(__xludf.DUMMYFUNCTION("""COMPUTED_VALUE"""),"9788561228446")</f>
        <v>9788561228446</v>
      </c>
      <c r="H464" s="29" t="str">
        <f>IFERROR(__xludf.DUMMYFUNCTION("""COMPUTED_VALUE"""),"http://omp.ufgd.edu.br/omp/index.php/livrosabertos/catalog/view/18/16/55-1")</f>
        <v>http://omp.ufgd.edu.br/omp/index.php/livrosabertos/catalog/view/18/16/55-1</v>
      </c>
      <c r="I464" s="24" t="str">
        <f>IFERROR(__xludf.DUMMYFUNCTION("""COMPUTED_VALUE"""),"Lingüística Letras e Artes")</f>
        <v>Lingüística Letras e Artes</v>
      </c>
    </row>
    <row r="465">
      <c r="A465" s="24" t="str">
        <f>IFERROR(__xludf.DUMMYFUNCTION("""COMPUTED_VALUE"""),"Uma xícara de crônica")</f>
        <v>Uma xícara de crônica</v>
      </c>
      <c r="B465" s="24" t="str">
        <f>IFERROR(__xludf.DUMMYFUNCTION("""COMPUTED_VALUE"""),"Andréa Antonialli (org.)")</f>
        <v>Andréa Antonialli (org.)</v>
      </c>
      <c r="C465" s="24" t="str">
        <f>IFERROR(__xludf.DUMMYFUNCTION("""COMPUTED_VALUE"""),"São Bernardo do Campo, SP")</f>
        <v>São Bernardo do Campo, SP</v>
      </c>
      <c r="D465" s="24" t="str">
        <f>IFERROR(__xludf.DUMMYFUNCTION("""COMPUTED_VALUE"""),"UMESP")</f>
        <v>UMESP</v>
      </c>
      <c r="E465" s="25">
        <f>IFERROR(__xludf.DUMMYFUNCTION("""COMPUTED_VALUE"""),2016.0)</f>
        <v>2016</v>
      </c>
      <c r="F465" s="24" t="str">
        <f>IFERROR(__xludf.DUMMYFUNCTION("""COMPUTED_VALUE"""),"Literatura infantojuvenil.Crônicas")</f>
        <v>Literatura infantojuvenil.Crônicas</v>
      </c>
      <c r="G465" s="26"/>
      <c r="H465" s="29" t="str">
        <f>IFERROR(__xludf.DUMMYFUNCTION("""COMPUTED_VALUE"""),"http://editora.metodista.br/livros-gratis/umaxicaradecronicas.pdf/at_download/file")</f>
        <v>http://editora.metodista.br/livros-gratis/umaxicaradecronicas.pdf/at_download/file</v>
      </c>
      <c r="I465" s="24" t="str">
        <f>IFERROR(__xludf.DUMMYFUNCTION("""COMPUTED_VALUE"""),"Lingüística Letras e Artes")</f>
        <v>Lingüística Letras e Artes</v>
      </c>
    </row>
    <row r="466">
      <c r="A466" s="24" t="str">
        <f>IFERROR(__xludf.DUMMYFUNCTION("""COMPUTED_VALUE"""),"Unesc em Dança: 15ª edição")</f>
        <v>Unesc em Dança: 15ª edição</v>
      </c>
      <c r="B466" s="24" t="str">
        <f>IFERROR(__xludf.DUMMYFUNCTION("""COMPUTED_VALUE"""),"Reddig, Amalhene Baesso")</f>
        <v>Reddig, Amalhene Baesso</v>
      </c>
      <c r="C466" s="24" t="str">
        <f>IFERROR(__xludf.DUMMYFUNCTION("""COMPUTED_VALUE"""),"Criciúma")</f>
        <v>Criciúma</v>
      </c>
      <c r="D466" s="24" t="str">
        <f>IFERROR(__xludf.DUMMYFUNCTION("""COMPUTED_VALUE"""),"UNESC")</f>
        <v>UNESC</v>
      </c>
      <c r="E466" s="25">
        <f>IFERROR(__xludf.DUMMYFUNCTION("""COMPUTED_VALUE"""),2018.0)</f>
        <v>2018</v>
      </c>
      <c r="F466" s="24" t="str">
        <f>IFERROR(__xludf.DUMMYFUNCTION("""COMPUTED_VALUE"""),"Festivais de dança – Santa Catarina, Região Sul – Obras ilustradas; Dança – Santa Catarina, Região Sul – Obras ilustradas")</f>
        <v>Festivais de dança – Santa Catarina, Região Sul – Obras ilustradas; Dança – Santa Catarina, Região Sul – Obras ilustradas</v>
      </c>
      <c r="G466" s="28" t="str">
        <f>IFERROR(__xludf.DUMMYFUNCTION("""COMPUTED_VALUE"""),"9788584100989")</f>
        <v>9788584100989</v>
      </c>
      <c r="H466" s="29" t="str">
        <f>IFERROR(__xludf.DUMMYFUNCTION("""COMPUTED_VALUE"""),"http://repositorio.unesc.net/handle/1/6481")</f>
        <v>http://repositorio.unesc.net/handle/1/6481</v>
      </c>
      <c r="I466" s="24" t="str">
        <f>IFERROR(__xludf.DUMMYFUNCTION("""COMPUTED_VALUE"""),"Lingüística Letras e Artes")</f>
        <v>Lingüística Letras e Artes</v>
      </c>
    </row>
    <row r="467">
      <c r="A467" s="24" t="str">
        <f>IFERROR(__xludf.DUMMYFUNCTION("""COMPUTED_VALUE"""),"Uruguai ")</f>
        <v>Uruguai </v>
      </c>
      <c r="B467" s="24" t="str">
        <f>IFERROR(__xludf.DUMMYFUNCTION("""COMPUTED_VALUE"""),"Luciana Macêdo ")</f>
        <v>Luciana Macêdo </v>
      </c>
      <c r="C467" s="24" t="str">
        <f>IFERROR(__xludf.DUMMYFUNCTION("""COMPUTED_VALUE"""),"Macapá")</f>
        <v>Macapá</v>
      </c>
      <c r="D467" s="24" t="str">
        <f>IFERROR(__xludf.DUMMYFUNCTION("""COMPUTED_VALUE"""),"UNIFAP")</f>
        <v>UNIFAP</v>
      </c>
      <c r="E467" s="25">
        <f>IFERROR(__xludf.DUMMYFUNCTION("""COMPUTED_VALUE"""),2020.0)</f>
        <v>2020</v>
      </c>
      <c r="F467" s="24" t="str">
        <f>IFERROR(__xludf.DUMMYFUNCTION("""COMPUTED_VALUE"""),"Fotografia; Turismo; Uruguai")</f>
        <v>Fotografia; Turismo; Uruguai</v>
      </c>
      <c r="G467" s="28" t="str">
        <f>IFERROR(__xludf.DUMMYFUNCTION("""COMPUTED_VALUE"""),"9786599011085")</f>
        <v>9786599011085</v>
      </c>
      <c r="H467" s="29" t="str">
        <f>IFERROR(__xludf.DUMMYFUNCTION("""COMPUTED_VALUE"""),"https://www2.unifap.br/editora/files/2020/08/uruguai.pdf")</f>
        <v>https://www2.unifap.br/editora/files/2020/08/uruguai.pdf</v>
      </c>
      <c r="I467" s="24" t="str">
        <f>IFERROR(__xludf.DUMMYFUNCTION("""COMPUTED_VALUE"""),"Lingüística Letras e Artes")</f>
        <v>Lingüística Letras e Artes</v>
      </c>
    </row>
    <row r="468">
      <c r="A468" s="24" t="str">
        <f>IFERROR(__xludf.DUMMYFUNCTION("""COMPUTED_VALUE"""),"Uso e ensino de língua: pesquisas e reflexões do Grupo Teorias Linguísticas de Base - TLB (disponível temporariamente)")</f>
        <v>Uso e ensino de língua: pesquisas e reflexões do Grupo Teorias Linguísticas de Base - TLB (disponível temporariamente)</v>
      </c>
      <c r="B468" s="24" t="str">
        <f>IFERROR(__xludf.DUMMYFUNCTION("""COMPUTED_VALUE"""),"Denilson Pereira de Matos")</f>
        <v>Denilson Pereira de Matos</v>
      </c>
      <c r="C468" s="24" t="str">
        <f>IFERROR(__xludf.DUMMYFUNCTION("""COMPUTED_VALUE"""),"João Pessoa")</f>
        <v>João Pessoa</v>
      </c>
      <c r="D468" s="24" t="str">
        <f>IFERROR(__xludf.DUMMYFUNCTION("""COMPUTED_VALUE"""),"Editora da UFPB")</f>
        <v>Editora da UFPB</v>
      </c>
      <c r="E468" s="25">
        <f>IFERROR(__xludf.DUMMYFUNCTION("""COMPUTED_VALUE"""),2019.0)</f>
        <v>2019</v>
      </c>
      <c r="F468" s="24" t="str">
        <f>IFERROR(__xludf.DUMMYFUNCTION("""COMPUTED_VALUE"""),"Linguística. Línguas – Ensino e uso. Línguas – Leitura e escrita")</f>
        <v>Linguística. Línguas – Ensino e uso. Línguas – Leitura e escrita</v>
      </c>
      <c r="G468" s="28" t="str">
        <f>IFERROR(__xludf.DUMMYFUNCTION("""COMPUTED_VALUE"""),"9788523714512")</f>
        <v>9788523714512</v>
      </c>
      <c r="H468" s="29" t="str">
        <f>IFERROR(__xludf.DUMMYFUNCTION("""COMPUTED_VALUE"""),"http://www.editora.ufpb.br/sistema/press5/index.php/UFPB/catalog/book/311")</f>
        <v>http://www.editora.ufpb.br/sistema/press5/index.php/UFPB/catalog/book/311</v>
      </c>
      <c r="I468" s="24" t="str">
        <f>IFERROR(__xludf.DUMMYFUNCTION("""COMPUTED_VALUE"""),"Lingüística Letras e Artes")</f>
        <v>Lingüística Letras e Artes</v>
      </c>
    </row>
    <row r="469">
      <c r="A469" s="24" t="str">
        <f>IFERROR(__xludf.DUMMYFUNCTION("""COMPUTED_VALUE"""),"Usos linguísticos: descrição e análise (disponível temporariamente)")</f>
        <v>Usos linguísticos: descrição e análise (disponível temporariamente)</v>
      </c>
      <c r="B469" s="24" t="str">
        <f>IFERROR(__xludf.DUMMYFUNCTION("""COMPUTED_VALUE"""),"Denilson Pereira de Matos")</f>
        <v>Denilson Pereira de Matos</v>
      </c>
      <c r="C469" s="24" t="str">
        <f>IFERROR(__xludf.DUMMYFUNCTION("""COMPUTED_VALUE"""),"João Pessoa")</f>
        <v>João Pessoa</v>
      </c>
      <c r="D469" s="24" t="str">
        <f>IFERROR(__xludf.DUMMYFUNCTION("""COMPUTED_VALUE"""),"Editora da UFPB")</f>
        <v>Editora da UFPB</v>
      </c>
      <c r="E469" s="25">
        <f>IFERROR(__xludf.DUMMYFUNCTION("""COMPUTED_VALUE"""),2018.0)</f>
        <v>2018</v>
      </c>
      <c r="F469" s="24" t="str">
        <f>IFERROR(__xludf.DUMMYFUNCTION("""COMPUTED_VALUE"""),"Linguística.Uso da linguagem. Linguagem – Descrição e análise")</f>
        <v>Linguística.Uso da linguagem. Linguagem – Descrição e análise</v>
      </c>
      <c r="G469" s="28" t="str">
        <f>IFERROR(__xludf.DUMMYFUNCTION("""COMPUTED_VALUE"""),"9788523713836")</f>
        <v>9788523713836</v>
      </c>
      <c r="H469" s="29" t="str">
        <f>IFERROR(__xludf.DUMMYFUNCTION("""COMPUTED_VALUE"""),"http://www.editora.ufpb.br/sistema/press5/index.php/UFPB/catalog/book/306")</f>
        <v>http://www.editora.ufpb.br/sistema/press5/index.php/UFPB/catalog/book/306</v>
      </c>
      <c r="I469" s="24" t="str">
        <f>IFERROR(__xludf.DUMMYFUNCTION("""COMPUTED_VALUE"""),"Lingüística Letras e Artes")</f>
        <v>Lingüística Letras e Artes</v>
      </c>
    </row>
    <row r="470">
      <c r="A470" s="24" t="str">
        <f>IFERROR(__xludf.DUMMYFUNCTION("""COMPUTED_VALUE"""),"Vamos falar o acreanês")</f>
        <v>Vamos falar o acreanês</v>
      </c>
      <c r="B470" s="24" t="str">
        <f>IFERROR(__xludf.DUMMYFUNCTION("""COMPUTED_VALUE"""),"Pedro Ranz")</f>
        <v>Pedro Ranz</v>
      </c>
      <c r="C470" s="24" t="str">
        <f>IFERROR(__xludf.DUMMYFUNCTION("""COMPUTED_VALUE"""),"Rio Branco")</f>
        <v>Rio Branco</v>
      </c>
      <c r="D470" s="24" t="str">
        <f>IFERROR(__xludf.DUMMYFUNCTION("""COMPUTED_VALUE"""),"Edufac")</f>
        <v>Edufac</v>
      </c>
      <c r="E470" s="25">
        <f>IFERROR(__xludf.DUMMYFUNCTION("""COMPUTED_VALUE"""),2017.0)</f>
        <v>2017</v>
      </c>
      <c r="F470" s="24" t="str">
        <f>IFERROR(__xludf.DUMMYFUNCTION("""COMPUTED_VALUE"""),"Língua portuguesa - Regionalismo (Acre) - Dicionários")</f>
        <v>Língua portuguesa - Regionalismo (Acre) - Dicionários</v>
      </c>
      <c r="G470" s="28" t="str">
        <f>IFERROR(__xludf.DUMMYFUNCTION("""COMPUTED_VALUE"""),"9788582360460")</f>
        <v>9788582360460</v>
      </c>
      <c r="H470" s="29" t="str">
        <f>IFERROR(__xludf.DUMMYFUNCTION("""COMPUTED_VALUE"""),"http://www2.ufac.br/editora/livros/vamor-falar-o-acreanes.pdf")</f>
        <v>http://www2.ufac.br/editora/livros/vamor-falar-o-acreanes.pdf</v>
      </c>
      <c r="I470" s="24" t="str">
        <f>IFERROR(__xludf.DUMMYFUNCTION("""COMPUTED_VALUE"""),"Lingüística Letras e Artes")</f>
        <v>Lingüística Letras e Artes</v>
      </c>
    </row>
    <row r="471">
      <c r="A471" s="24" t="str">
        <f>IFERROR(__xludf.DUMMYFUNCTION("""COMPUTED_VALUE"""),"Veredas poéticas de Juvenal Antunes")</f>
        <v>Veredas poéticas de Juvenal Antunes</v>
      </c>
      <c r="B471" s="24" t="str">
        <f>IFERROR(__xludf.DUMMYFUNCTION("""COMPUTED_VALUE"""),"Rauana Batalha Albuquerque Mendes")</f>
        <v>Rauana Batalha Albuquerque Mendes</v>
      </c>
      <c r="C471" s="24" t="str">
        <f>IFERROR(__xludf.DUMMYFUNCTION("""COMPUTED_VALUE"""),"Rio Branco")</f>
        <v>Rio Branco</v>
      </c>
      <c r="D471" s="24" t="str">
        <f>IFERROR(__xludf.DUMMYFUNCTION("""COMPUTED_VALUE"""),"Edufac")</f>
        <v>Edufac</v>
      </c>
      <c r="E471" s="25">
        <f>IFERROR(__xludf.DUMMYFUNCTION("""COMPUTED_VALUE"""),2018.0)</f>
        <v>2018</v>
      </c>
      <c r="F471" s="24" t="str">
        <f>IFERROR(__xludf.DUMMYFUNCTION("""COMPUTED_VALUE"""),"Poesia brasileira; Escritores brasileiros; Literatura")</f>
        <v>Poesia brasileira; Escritores brasileiros; Literatura</v>
      </c>
      <c r="G471" s="28" t="str">
        <f>IFERROR(__xludf.DUMMYFUNCTION("""COMPUTED_VALUE"""),"9788582360736")</f>
        <v>9788582360736</v>
      </c>
      <c r="H471" s="29" t="str">
        <f>IFERROR(__xludf.DUMMYFUNCTION("""COMPUTED_VALUE"""),"http://www2.ufac.br/editora/livros/VeredasPoeticas.pdf")</f>
        <v>http://www2.ufac.br/editora/livros/VeredasPoeticas.pdf</v>
      </c>
      <c r="I471" s="24" t="str">
        <f>IFERROR(__xludf.DUMMYFUNCTION("""COMPUTED_VALUE"""),"Lingüística Letras e Artes")</f>
        <v>Lingüística Letras e Artes</v>
      </c>
    </row>
    <row r="472">
      <c r="A472" s="24" t="str">
        <f>IFERROR(__xludf.DUMMYFUNCTION("""COMPUTED_VALUE"""),"Versoreverso ")</f>
        <v>Versoreverso </v>
      </c>
      <c r="B472" s="24" t="str">
        <f>IFERROR(__xludf.DUMMYFUNCTION("""COMPUTED_VALUE"""),"Ruy do Carmo Póvoas; (coordenação; Edivaldo Souza)")</f>
        <v>Ruy do Carmo Póvoas; (coordenação; Edivaldo Souza)</v>
      </c>
      <c r="C472" s="24" t="str">
        <f>IFERROR(__xludf.DUMMYFUNCTION("""COMPUTED_VALUE"""),"Ilhéus, BA")</f>
        <v>Ilhéus, BA</v>
      </c>
      <c r="D472" s="24" t="str">
        <f>IFERROR(__xludf.DUMMYFUNCTION("""COMPUTED_VALUE"""),"Editus")</f>
        <v>Editus</v>
      </c>
      <c r="E472" s="25">
        <f>IFERROR(__xludf.DUMMYFUNCTION("""COMPUTED_VALUE"""),2003.0)</f>
        <v>2003</v>
      </c>
      <c r="F472" s="24" t="str">
        <f>IFERROR(__xludf.DUMMYFUNCTION("""COMPUTED_VALUE"""),"Poesia brasileira - Coletânea")</f>
        <v>Poesia brasileira - Coletânea</v>
      </c>
      <c r="G472" s="28" t="str">
        <f>IFERROR(__xludf.DUMMYFUNCTION("""COMPUTED_VALUE"""),"8574550639")</f>
        <v>8574550639</v>
      </c>
      <c r="H472" s="29" t="str">
        <f>IFERROR(__xludf.DUMMYFUNCTION("""COMPUTED_VALUE"""),"http://www.uesc.br/editora/livrosdigitais/verso_re_verso.pdf")</f>
        <v>http://www.uesc.br/editora/livrosdigitais/verso_re_verso.pdf</v>
      </c>
      <c r="I472" s="24" t="str">
        <f>IFERROR(__xludf.DUMMYFUNCTION("""COMPUTED_VALUE"""),"Lingüística Letras e Artes")</f>
        <v>Lingüística Letras e Artes</v>
      </c>
    </row>
    <row r="473">
      <c r="A473" s="24" t="str">
        <f>IFERROR(__xludf.DUMMYFUNCTION("""COMPUTED_VALUE"""),"Violão, da marginalidade à academia, o: trajetória de Jodacil Damaceno")</f>
        <v>Violão, da marginalidade à academia, o: trajetória de Jodacil Damaceno</v>
      </c>
      <c r="B473" s="24" t="str">
        <f>IFERROR(__xludf.DUMMYFUNCTION("""COMPUTED_VALUE"""),"Sandra Mara Alfonso")</f>
        <v>Sandra Mara Alfonso</v>
      </c>
      <c r="C473" s="24" t="str">
        <f>IFERROR(__xludf.DUMMYFUNCTION("""COMPUTED_VALUE"""),"Uberlândia")</f>
        <v>Uberlândia</v>
      </c>
      <c r="D473" s="24" t="str">
        <f>IFERROR(__xludf.DUMMYFUNCTION("""COMPUTED_VALUE"""),"EDUFU")</f>
        <v>EDUFU</v>
      </c>
      <c r="E473" s="25">
        <f>IFERROR(__xludf.DUMMYFUNCTION("""COMPUTED_VALUE"""),2017.0)</f>
        <v>2017</v>
      </c>
      <c r="F473" s="24" t="str">
        <f>IFERROR(__xludf.DUMMYFUNCTION("""COMPUTED_VALUE"""),"Damaceno, Jodacil,1929-2.Violonistas-Brasil-Biografia; Violão-Brasil-História; Música-Brasil-História.I.Título")</f>
        <v>Damaceno, Jodacil,1929-2.Violonistas-Brasil-Biografia; Violão-Brasil-História; Música-Brasil-História.I.Título</v>
      </c>
      <c r="G473" s="28" t="str">
        <f>IFERROR(__xludf.DUMMYFUNCTION("""COMPUTED_VALUE"""),"9788570784575")</f>
        <v>9788570784575</v>
      </c>
      <c r="H473" s="29" t="str">
        <f>IFERROR(__xludf.DUMMYFUNCTION("""COMPUTED_VALUE"""),"http://www.edufu.ufu.br/sites/edufu.ufu.br/files/e-book_o_violao_2017.pdf")</f>
        <v>http://www.edufu.ufu.br/sites/edufu.ufu.br/files/e-book_o_violao_2017.pdf</v>
      </c>
      <c r="I473" s="24" t="str">
        <f>IFERROR(__xludf.DUMMYFUNCTION("""COMPUTED_VALUE"""),"Lingüística Letras e Artes")</f>
        <v>Lingüística Letras e Artes</v>
      </c>
    </row>
    <row r="474">
      <c r="A474" s="24" t="str">
        <f>IFERROR(__xludf.DUMMYFUNCTION("""COMPUTED_VALUE"""),"Visualidade nas artes: olhares e considerações")</f>
        <v>Visualidade nas artes: olhares e considerações</v>
      </c>
      <c r="B474" s="24" t="str">
        <f>IFERROR(__xludf.DUMMYFUNCTION("""COMPUTED_VALUE"""),"JOAQUIM NETTO (org.) ")</f>
        <v>JOAQUIM NETTO (org.) </v>
      </c>
      <c r="C474" s="24" t="str">
        <f>IFERROR(__xludf.DUMMYFUNCTION("""COMPUTED_VALUE"""),"Macapá")</f>
        <v>Macapá</v>
      </c>
      <c r="D474" s="24" t="str">
        <f>IFERROR(__xludf.DUMMYFUNCTION("""COMPUTED_VALUE"""),"UNIFAP")</f>
        <v>UNIFAP</v>
      </c>
      <c r="E474" s="25">
        <f>IFERROR(__xludf.DUMMYFUNCTION("""COMPUTED_VALUE"""),2016.0)</f>
        <v>2016</v>
      </c>
      <c r="F474" s="24" t="str">
        <f>IFERROR(__xludf.DUMMYFUNCTION("""COMPUTED_VALUE"""),"Arte; Linguagem visual; Fotografia; Cultura")</f>
        <v>Arte; Linguagem visual; Fotografia; Cultura</v>
      </c>
      <c r="G474" s="28" t="str">
        <f>IFERROR(__xludf.DUMMYFUNCTION("""COMPUTED_VALUE"""),"9788562359576")</f>
        <v>9788562359576</v>
      </c>
      <c r="H474" s="29" t="str">
        <f>IFERROR(__xludf.DUMMYFUNCTION("""COMPUTED_VALUE"""),"https://www2.unifap.br/editora/files/2014/12/NETTO-Joaquim.-Visualidade-nas-Artes-olhares-e-considera%c3%a7%c3%b5es.-Macap%c3%a1-UNIFAP-2016.pdf")</f>
        <v>https://www2.unifap.br/editora/files/2014/12/NETTO-Joaquim.-Visualidade-nas-Artes-olhares-e-considera%c3%a7%c3%b5es.-Macap%c3%a1-UNIFAP-2016.pdf</v>
      </c>
      <c r="I474" s="24" t="str">
        <f>IFERROR(__xludf.DUMMYFUNCTION("""COMPUTED_VALUE"""),"Lingüística Letras e Artes")</f>
        <v>Lingüística Letras e Artes</v>
      </c>
    </row>
    <row r="475">
      <c r="A475" s="24" t="str">
        <f>IFERROR(__xludf.DUMMYFUNCTION("""COMPUTED_VALUE"""),"Vitorino: a tartaruga vitoriosa")</f>
        <v>Vitorino: a tartaruga vitoriosa</v>
      </c>
      <c r="B475" s="24" t="str">
        <f>IFERROR(__xludf.DUMMYFUNCTION("""COMPUTED_VALUE"""),"Gaidzinski, Morgana Cirimbelli")</f>
        <v>Gaidzinski, Morgana Cirimbelli</v>
      </c>
      <c r="C475" s="24" t="str">
        <f>IFERROR(__xludf.DUMMYFUNCTION("""COMPUTED_VALUE"""),"Criciúma")</f>
        <v>Criciúma</v>
      </c>
      <c r="D475" s="24" t="str">
        <f>IFERROR(__xludf.DUMMYFUNCTION("""COMPUTED_VALUE"""),"UNESC")</f>
        <v>UNESC</v>
      </c>
      <c r="E475" s="25">
        <f>IFERROR(__xludf.DUMMYFUNCTION("""COMPUTED_VALUE"""),2019.0)</f>
        <v>2019</v>
      </c>
      <c r="F475" s="24" t="str">
        <f>IFERROR(__xludf.DUMMYFUNCTION("""COMPUTED_VALUE"""),"Literatura infantojuvenil; Tartaruga-marinha – Literatura infantojuvenil; Poluição marinha – Literatura infantojuvenil; Material didático")</f>
        <v>Literatura infantojuvenil; Tartaruga-marinha – Literatura infantojuvenil; Poluição marinha – Literatura infantojuvenil; Material didático</v>
      </c>
      <c r="G475" s="28" t="str">
        <f>IFERROR(__xludf.DUMMYFUNCTION("""COMPUTED_VALUE"""),"9788584101139")</f>
        <v>9788584101139</v>
      </c>
      <c r="H475" s="29" t="str">
        <f>IFERROR(__xludf.DUMMYFUNCTION("""COMPUTED_VALUE"""),"http://repositorio.unesc.net/handle/1/7143")</f>
        <v>http://repositorio.unesc.net/handle/1/7143</v>
      </c>
      <c r="I475" s="24" t="str">
        <f>IFERROR(__xludf.DUMMYFUNCTION("""COMPUTED_VALUE"""),"Lingüística Letras e Artes")</f>
        <v>Lingüística Letras e Artes</v>
      </c>
    </row>
    <row r="476">
      <c r="A476" s="24" t="str">
        <f>IFERROR(__xludf.DUMMYFUNCTION("""COMPUTED_VALUE"""),"Vou lhe contar um caso")</f>
        <v>Vou lhe contar um caso</v>
      </c>
      <c r="B476" s="24" t="str">
        <f>IFERROR(__xludf.DUMMYFUNCTION("""COMPUTED_VALUE"""),"Leônidas Azevedo Filho; ilustrações Bruno Santana. ")</f>
        <v>Leônidas Azevedo Filho; ilustrações Bruno Santana. </v>
      </c>
      <c r="C476" s="24" t="str">
        <f>IFERROR(__xludf.DUMMYFUNCTION("""COMPUTED_VALUE"""),"Ilhéus, BA")</f>
        <v>Ilhéus, BA</v>
      </c>
      <c r="D476" s="24" t="str">
        <f>IFERROR(__xludf.DUMMYFUNCTION("""COMPUTED_VALUE"""),"Editus")</f>
        <v>Editus</v>
      </c>
      <c r="E476" s="25">
        <f>IFERROR(__xludf.DUMMYFUNCTION("""COMPUTED_VALUE"""),2015.0)</f>
        <v>2015</v>
      </c>
      <c r="F476" s="24" t="str">
        <f>IFERROR(__xludf.DUMMYFUNCTION("""COMPUTED_VALUE"""),"Literatura Infantojuvenil")</f>
        <v>Literatura Infantojuvenil</v>
      </c>
      <c r="G476" s="28" t="str">
        <f>IFERROR(__xludf.DUMMYFUNCTION("""COMPUTED_VALUE"""),"9788574553634")</f>
        <v>9788574553634</v>
      </c>
      <c r="H476" s="29" t="str">
        <f>IFERROR(__xludf.DUMMYFUNCTION("""COMPUTED_VALUE"""),"http://www.uesc.br/editora/livrosdigitais2017/vou_lhe_contar_um_caso.pdf")</f>
        <v>http://www.uesc.br/editora/livrosdigitais2017/vou_lhe_contar_um_caso.pdf</v>
      </c>
      <c r="I476" s="24" t="str">
        <f>IFERROR(__xludf.DUMMYFUNCTION("""COMPUTED_VALUE"""),"Lingüística Letras e Artes")</f>
        <v>Lingüística Letras e Artes</v>
      </c>
    </row>
    <row r="477">
      <c r="A477" s="24" t="str">
        <f>IFERROR(__xludf.DUMMYFUNCTION("""COMPUTED_VALUE"""),"Xime dji konetmã: Liv Djidatxik dji Methes-iela")</f>
        <v>Xime dji konetmã: Liv Djidatxik dji Methes-iela</v>
      </c>
      <c r="B477" s="24" t="str">
        <f>IFERROR(__xludf.DUMMYFUNCTION("""COMPUTED_VALUE"""),"Janina dos Santos Forte, Mara Santos, Glauber Romling da Silva, Cilene Campetela e Ingrid Lemos Costa (org.)")</f>
        <v>Janina dos Santos Forte, Mara Santos, Glauber Romling da Silva, Cilene Campetela e Ingrid Lemos Costa (org.)</v>
      </c>
      <c r="C477" s="24" t="str">
        <f>IFERROR(__xludf.DUMMYFUNCTION("""COMPUTED_VALUE"""),"Macapá")</f>
        <v>Macapá</v>
      </c>
      <c r="D477" s="24" t="str">
        <f>IFERROR(__xludf.DUMMYFUNCTION("""COMPUTED_VALUE"""),"UNIFAP")</f>
        <v>UNIFAP</v>
      </c>
      <c r="E477" s="25">
        <f>IFERROR(__xludf.DUMMYFUNCTION("""COMPUTED_VALUE"""),2019.0)</f>
        <v>2019</v>
      </c>
      <c r="F477" s="24" t="str">
        <f>IFERROR(__xludf.DUMMYFUNCTION("""COMPUTED_VALUE"""),"Linguística; Língua Kheuól; Karipuna")</f>
        <v>Linguística; Língua Kheuól; Karipuna</v>
      </c>
      <c r="G477" s="28" t="str">
        <f>IFERROR(__xludf.DUMMYFUNCTION("""COMPUTED_VALUE"""),"9788554760885")</f>
        <v>9788554760885</v>
      </c>
      <c r="H477" s="29" t="str">
        <f>IFERROR(__xludf.DUMMYFUNCTION("""COMPUTED_VALUE"""),"https://www2.unifap.br/editora/files/2019/12/xime-dji-konetma.pdf")</f>
        <v>https://www2.unifap.br/editora/files/2019/12/xime-dji-konetma.pdf</v>
      </c>
      <c r="I477" s="24" t="str">
        <f>IFERROR(__xludf.DUMMYFUNCTION("""COMPUTED_VALUE"""),"Lingüística Letras e Artes")</f>
        <v>Lingüística Letras e Artes</v>
      </c>
    </row>
  </sheetData>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 r:id="rId64" ref="H65"/>
    <hyperlink r:id="rId65" ref="H66"/>
    <hyperlink r:id="rId66" ref="H67"/>
    <hyperlink r:id="rId67" ref="H68"/>
    <hyperlink r:id="rId68" ref="H69"/>
    <hyperlink r:id="rId69" ref="H70"/>
    <hyperlink r:id="rId70" ref="H71"/>
    <hyperlink r:id="rId71" ref="H72"/>
    <hyperlink r:id="rId72" ref="H73"/>
    <hyperlink r:id="rId73" ref="H74"/>
    <hyperlink r:id="rId74" ref="H75"/>
    <hyperlink r:id="rId75" ref="H76"/>
    <hyperlink r:id="rId76" ref="H77"/>
    <hyperlink r:id="rId77" ref="H78"/>
    <hyperlink r:id="rId78" ref="H79"/>
    <hyperlink r:id="rId79" ref="H80"/>
    <hyperlink r:id="rId80" ref="H81"/>
    <hyperlink r:id="rId81" ref="H82"/>
    <hyperlink r:id="rId82" ref="H83"/>
    <hyperlink r:id="rId83" ref="H84"/>
    <hyperlink r:id="rId84" ref="H85"/>
    <hyperlink r:id="rId85" ref="H86"/>
    <hyperlink r:id="rId86" ref="H87"/>
    <hyperlink r:id="rId87" ref="H88"/>
    <hyperlink r:id="rId88" ref="H89"/>
    <hyperlink r:id="rId89" ref="H90"/>
    <hyperlink r:id="rId90" location="038;masterkey=5f012ee6d1643" ref="H91"/>
    <hyperlink r:id="rId91" ref="H92"/>
    <hyperlink r:id="rId92" ref="H93"/>
    <hyperlink r:id="rId93" ref="H94"/>
    <hyperlink r:id="rId94" ref="H95"/>
    <hyperlink r:id="rId95" ref="H96"/>
    <hyperlink r:id="rId96" ref="H97"/>
    <hyperlink r:id="rId97" ref="H98"/>
    <hyperlink r:id="rId98" ref="H99"/>
    <hyperlink r:id="rId99" location="038;masterkey=5f3fc3196fa09" ref="H100"/>
    <hyperlink r:id="rId100" ref="H101"/>
    <hyperlink r:id="rId101" ref="H102"/>
    <hyperlink r:id="rId102" ref="H103"/>
    <hyperlink r:id="rId103" ref="H104"/>
    <hyperlink r:id="rId104" ref="H105"/>
    <hyperlink r:id="rId105" ref="H106"/>
    <hyperlink r:id="rId106" ref="H107"/>
    <hyperlink r:id="rId107" ref="H108"/>
    <hyperlink r:id="rId108" ref="H109"/>
    <hyperlink r:id="rId109" ref="H110"/>
    <hyperlink r:id="rId110" ref="H111"/>
    <hyperlink r:id="rId111" ref="H112"/>
    <hyperlink r:id="rId112" ref="H113"/>
    <hyperlink r:id="rId113" ref="H114"/>
    <hyperlink r:id="rId114" ref="H115"/>
    <hyperlink r:id="rId115" ref="H116"/>
    <hyperlink r:id="rId116" ref="H117"/>
    <hyperlink r:id="rId117" ref="H118"/>
    <hyperlink r:id="rId118" ref="H119"/>
    <hyperlink r:id="rId119" ref="H120"/>
    <hyperlink r:id="rId120" ref="H121"/>
    <hyperlink r:id="rId121" ref="H122"/>
    <hyperlink r:id="rId122" ref="H123"/>
    <hyperlink r:id="rId123" ref="H124"/>
    <hyperlink r:id="rId124" ref="H125"/>
    <hyperlink r:id="rId125" ref="H126"/>
    <hyperlink r:id="rId126" ref="H127"/>
    <hyperlink r:id="rId127" ref="H128"/>
    <hyperlink r:id="rId128" ref="H129"/>
    <hyperlink r:id="rId129" ref="H130"/>
    <hyperlink r:id="rId130" location="038;masterkey=5f622dad00895" ref="H131"/>
    <hyperlink r:id="rId131" ref="H132"/>
    <hyperlink r:id="rId132" ref="H133"/>
    <hyperlink r:id="rId133" ref="H134"/>
    <hyperlink r:id="rId134" ref="H135"/>
    <hyperlink r:id="rId135" ref="H136"/>
    <hyperlink r:id="rId136" ref="H137"/>
    <hyperlink r:id="rId137" ref="H138"/>
    <hyperlink r:id="rId138" ref="H139"/>
    <hyperlink r:id="rId139" ref="H140"/>
    <hyperlink r:id="rId140" ref="H141"/>
    <hyperlink r:id="rId141" ref="H142"/>
    <hyperlink r:id="rId142" ref="H143"/>
    <hyperlink r:id="rId143" ref="H144"/>
    <hyperlink r:id="rId144" ref="H145"/>
    <hyperlink r:id="rId145" ref="H146"/>
    <hyperlink r:id="rId146" ref="H147"/>
    <hyperlink r:id="rId147" ref="H148"/>
    <hyperlink r:id="rId148" ref="H149"/>
    <hyperlink r:id="rId149" ref="H150"/>
    <hyperlink r:id="rId150" ref="H151"/>
    <hyperlink r:id="rId151" ref="H152"/>
    <hyperlink r:id="rId152" ref="H153"/>
    <hyperlink r:id="rId153" ref="H154"/>
    <hyperlink r:id="rId154" ref="H155"/>
    <hyperlink r:id="rId155" ref="H156"/>
    <hyperlink r:id="rId156" ref="H157"/>
    <hyperlink r:id="rId157" ref="H158"/>
    <hyperlink r:id="rId158" ref="H159"/>
    <hyperlink r:id="rId159" ref="H160"/>
    <hyperlink r:id="rId160" ref="H161"/>
    <hyperlink r:id="rId161" ref="H162"/>
    <hyperlink r:id="rId162" ref="H163"/>
    <hyperlink r:id="rId163" ref="H164"/>
    <hyperlink r:id="rId164" ref="H165"/>
    <hyperlink r:id="rId165" ref="H166"/>
    <hyperlink r:id="rId166" ref="H167"/>
    <hyperlink r:id="rId167" ref="H168"/>
    <hyperlink r:id="rId168" ref="H169"/>
    <hyperlink r:id="rId169" ref="H170"/>
    <hyperlink r:id="rId170" ref="H171"/>
    <hyperlink r:id="rId171" ref="H172"/>
    <hyperlink r:id="rId172" ref="H173"/>
    <hyperlink r:id="rId173" ref="H174"/>
    <hyperlink r:id="rId174" location="038;masterkey=5d979c0e7d06b" ref="H175"/>
    <hyperlink r:id="rId175" ref="H176"/>
    <hyperlink r:id="rId176" ref="H177"/>
    <hyperlink r:id="rId177" ref="H178"/>
    <hyperlink r:id="rId178" ref="H179"/>
    <hyperlink r:id="rId179" ref="H180"/>
    <hyperlink r:id="rId180" ref="H181"/>
    <hyperlink r:id="rId181" ref="H182"/>
    <hyperlink r:id="rId182" ref="H183"/>
    <hyperlink r:id="rId183" ref="H184"/>
    <hyperlink r:id="rId184" ref="H185"/>
    <hyperlink r:id="rId185" ref="H186"/>
    <hyperlink r:id="rId186" ref="H187"/>
    <hyperlink r:id="rId187" location="038;masterkey=5f01318e501db" ref="H188"/>
    <hyperlink r:id="rId188" location="038;masterkey=5f0130ad407a1" ref="H189"/>
    <hyperlink r:id="rId189" ref="H190"/>
    <hyperlink r:id="rId190" ref="H191"/>
    <hyperlink r:id="rId191" ref="H192"/>
    <hyperlink r:id="rId192" ref="H193"/>
    <hyperlink r:id="rId193" location="038;masterkey=5f0130350c9d2" ref="H194"/>
    <hyperlink r:id="rId194" ref="H195"/>
    <hyperlink r:id="rId195" ref="H196"/>
    <hyperlink r:id="rId196" ref="H197"/>
    <hyperlink r:id="rId197" ref="H198"/>
    <hyperlink r:id="rId198" ref="H199"/>
    <hyperlink r:id="rId199" ref="H200"/>
    <hyperlink r:id="rId200" ref="H201"/>
    <hyperlink r:id="rId201" ref="H202"/>
    <hyperlink r:id="rId202" ref="H203"/>
    <hyperlink r:id="rId203" ref="H204"/>
    <hyperlink r:id="rId204" ref="H205"/>
    <hyperlink r:id="rId205" ref="H206"/>
    <hyperlink r:id="rId206" ref="H207"/>
    <hyperlink r:id="rId207" ref="H208"/>
    <hyperlink r:id="rId208" ref="H209"/>
    <hyperlink r:id="rId209" ref="H210"/>
    <hyperlink r:id="rId210" ref="H211"/>
    <hyperlink r:id="rId211" ref="H212"/>
    <hyperlink r:id="rId212" ref="H213"/>
    <hyperlink r:id="rId213" ref="H214"/>
    <hyperlink r:id="rId214" ref="H215"/>
    <hyperlink r:id="rId215" ref="H216"/>
    <hyperlink r:id="rId216" ref="H217"/>
    <hyperlink r:id="rId217" ref="H218"/>
    <hyperlink r:id="rId218" ref="H219"/>
    <hyperlink r:id="rId219" ref="H220"/>
    <hyperlink r:id="rId220" ref="H221"/>
    <hyperlink r:id="rId221" ref="H222"/>
    <hyperlink r:id="rId222" ref="H223"/>
    <hyperlink r:id="rId223" ref="H224"/>
    <hyperlink r:id="rId224" ref="H225"/>
    <hyperlink r:id="rId225" ref="H226"/>
    <hyperlink r:id="rId226" ref="H227"/>
    <hyperlink r:id="rId227" ref="H228"/>
    <hyperlink r:id="rId228" ref="H229"/>
    <hyperlink r:id="rId229" ref="H230"/>
    <hyperlink r:id="rId230" ref="H231"/>
    <hyperlink r:id="rId231" ref="H232"/>
    <hyperlink r:id="rId232" ref="H233"/>
    <hyperlink r:id="rId233" ref="H234"/>
    <hyperlink r:id="rId234" ref="H235"/>
    <hyperlink r:id="rId235" ref="H236"/>
    <hyperlink r:id="rId236" ref="H237"/>
    <hyperlink r:id="rId237" ref="H238"/>
    <hyperlink r:id="rId238" ref="H239"/>
    <hyperlink r:id="rId239" ref="H240"/>
    <hyperlink r:id="rId240" ref="H241"/>
    <hyperlink r:id="rId241" ref="H242"/>
    <hyperlink r:id="rId242" ref="H243"/>
    <hyperlink r:id="rId243" ref="H244"/>
    <hyperlink r:id="rId244" ref="H245"/>
    <hyperlink r:id="rId245" ref="H246"/>
    <hyperlink r:id="rId246" ref="H247"/>
    <hyperlink r:id="rId247" ref="H248"/>
    <hyperlink r:id="rId248" ref="H249"/>
    <hyperlink r:id="rId249" ref="H250"/>
    <hyperlink r:id="rId250" ref="H251"/>
    <hyperlink r:id="rId251" ref="H252"/>
    <hyperlink r:id="rId252" ref="H253"/>
    <hyperlink r:id="rId253" ref="H254"/>
    <hyperlink r:id="rId254" ref="H255"/>
    <hyperlink r:id="rId255" ref="H256"/>
    <hyperlink r:id="rId256" ref="H257"/>
    <hyperlink r:id="rId257" ref="H258"/>
    <hyperlink r:id="rId258" ref="H259"/>
    <hyperlink r:id="rId259" ref="H260"/>
    <hyperlink r:id="rId260" ref="H261"/>
    <hyperlink r:id="rId261" ref="H262"/>
    <hyperlink r:id="rId262" ref="H263"/>
    <hyperlink r:id="rId263" ref="H264"/>
    <hyperlink r:id="rId264" ref="H265"/>
    <hyperlink r:id="rId265" ref="H266"/>
    <hyperlink r:id="rId266" ref="H267"/>
    <hyperlink r:id="rId267" ref="H268"/>
    <hyperlink r:id="rId268" ref="H269"/>
    <hyperlink r:id="rId269" ref="H270"/>
    <hyperlink r:id="rId270" ref="H271"/>
    <hyperlink r:id="rId271" ref="H272"/>
    <hyperlink r:id="rId272" ref="H273"/>
    <hyperlink r:id="rId273" ref="H274"/>
    <hyperlink r:id="rId274" ref="H275"/>
    <hyperlink r:id="rId275" location="038;masterkey=5de7bfd1e6aa4" ref="H276"/>
    <hyperlink r:id="rId276" ref="H277"/>
    <hyperlink r:id="rId277" ref="H278"/>
    <hyperlink r:id="rId278" ref="H279"/>
    <hyperlink r:id="rId279" ref="H280"/>
    <hyperlink r:id="rId280" ref="H281"/>
    <hyperlink r:id="rId281" ref="H282"/>
    <hyperlink r:id="rId282" ref="H283"/>
    <hyperlink r:id="rId283" ref="H284"/>
    <hyperlink r:id="rId284" ref="H285"/>
    <hyperlink r:id="rId285" ref="H286"/>
    <hyperlink r:id="rId286" ref="H287"/>
    <hyperlink r:id="rId287" ref="H288"/>
    <hyperlink r:id="rId288" location="038;masterkey=5f012fa94552d" ref="H289"/>
    <hyperlink r:id="rId289" ref="H290"/>
    <hyperlink r:id="rId290" ref="H291"/>
    <hyperlink r:id="rId291" ref="H292"/>
    <hyperlink r:id="rId292" ref="H293"/>
    <hyperlink r:id="rId293" ref="H294"/>
    <hyperlink r:id="rId294" ref="H295"/>
    <hyperlink r:id="rId295" ref="H296"/>
    <hyperlink r:id="rId296" ref="H297"/>
    <hyperlink r:id="rId297" ref="H298"/>
    <hyperlink r:id="rId298" ref="H299"/>
    <hyperlink r:id="rId299" ref="H300"/>
    <hyperlink r:id="rId300" ref="H301"/>
    <hyperlink r:id="rId301" ref="H302"/>
    <hyperlink r:id="rId302" ref="H303"/>
    <hyperlink r:id="rId303" ref="H304"/>
    <hyperlink r:id="rId304" ref="H305"/>
    <hyperlink r:id="rId305" ref="H306"/>
    <hyperlink r:id="rId306" ref="H307"/>
    <hyperlink r:id="rId307" ref="H308"/>
    <hyperlink r:id="rId308" ref="H309"/>
    <hyperlink r:id="rId309" ref="H310"/>
    <hyperlink r:id="rId310" ref="H311"/>
    <hyperlink r:id="rId311" ref="H312"/>
    <hyperlink r:id="rId312" ref="H313"/>
    <hyperlink r:id="rId313" ref="H314"/>
    <hyperlink r:id="rId314" ref="H315"/>
    <hyperlink r:id="rId315" ref="H316"/>
    <hyperlink r:id="rId316" ref="H317"/>
    <hyperlink r:id="rId317" ref="H318"/>
    <hyperlink r:id="rId318" ref="H319"/>
    <hyperlink r:id="rId319" ref="H320"/>
    <hyperlink r:id="rId320" ref="H321"/>
    <hyperlink r:id="rId321" ref="H322"/>
    <hyperlink r:id="rId322" ref="H323"/>
    <hyperlink r:id="rId323" ref="H324"/>
    <hyperlink r:id="rId324" ref="H325"/>
    <hyperlink r:id="rId325" ref="H326"/>
    <hyperlink r:id="rId326" ref="H327"/>
    <hyperlink r:id="rId327" ref="H328"/>
    <hyperlink r:id="rId328" ref="H329"/>
    <hyperlink r:id="rId329" ref="H330"/>
    <hyperlink r:id="rId330" ref="H331"/>
    <hyperlink r:id="rId331" ref="H332"/>
    <hyperlink r:id="rId332" ref="H333"/>
    <hyperlink r:id="rId333" ref="H334"/>
    <hyperlink r:id="rId334" ref="H335"/>
    <hyperlink r:id="rId335" ref="H336"/>
    <hyperlink r:id="rId336" ref="H337"/>
    <hyperlink r:id="rId337" ref="H338"/>
    <hyperlink r:id="rId338" ref="H339"/>
    <hyperlink r:id="rId339" ref="H340"/>
    <hyperlink r:id="rId340" ref="H341"/>
    <hyperlink r:id="rId341" ref="H342"/>
    <hyperlink r:id="rId342" ref="H343"/>
    <hyperlink r:id="rId343" ref="H344"/>
    <hyperlink r:id="rId344" ref="H345"/>
    <hyperlink r:id="rId345" location="038;masterkey=5dee44e4d477f" ref="H346"/>
    <hyperlink r:id="rId346" ref="H347"/>
    <hyperlink r:id="rId347" ref="H348"/>
    <hyperlink r:id="rId348" ref="H349"/>
    <hyperlink r:id="rId349" ref="H350"/>
    <hyperlink r:id="rId350" ref="H351"/>
    <hyperlink r:id="rId351" ref="H352"/>
    <hyperlink r:id="rId352" ref="H353"/>
    <hyperlink r:id="rId353" ref="H354"/>
    <hyperlink r:id="rId354" ref="H355"/>
    <hyperlink r:id="rId355" ref="H356"/>
    <hyperlink r:id="rId356" ref="H357"/>
    <hyperlink r:id="rId357" ref="H358"/>
    <hyperlink r:id="rId358" ref="H359"/>
    <hyperlink r:id="rId359" ref="H360"/>
    <hyperlink r:id="rId360" ref="H361"/>
    <hyperlink r:id="rId361" ref="H362"/>
    <hyperlink r:id="rId362" ref="H363"/>
    <hyperlink r:id="rId363" ref="H364"/>
    <hyperlink r:id="rId364" ref="H365"/>
    <hyperlink r:id="rId365" ref="H366"/>
    <hyperlink r:id="rId366" ref="H367"/>
    <hyperlink r:id="rId367" ref="H368"/>
    <hyperlink r:id="rId368" ref="H369"/>
    <hyperlink r:id="rId369" ref="H370"/>
    <hyperlink r:id="rId370" ref="H371"/>
    <hyperlink r:id="rId371" ref="H372"/>
    <hyperlink r:id="rId372" ref="H373"/>
    <hyperlink r:id="rId373" ref="H374"/>
    <hyperlink r:id="rId374" ref="H375"/>
    <hyperlink r:id="rId375" ref="H376"/>
    <hyperlink r:id="rId376" ref="H377"/>
    <hyperlink r:id="rId377" ref="H378"/>
    <hyperlink r:id="rId378" ref="H379"/>
    <hyperlink r:id="rId379" ref="H380"/>
    <hyperlink r:id="rId380" ref="H381"/>
    <hyperlink r:id="rId381" ref="H382"/>
    <hyperlink r:id="rId382" ref="H383"/>
    <hyperlink r:id="rId383" ref="H384"/>
    <hyperlink r:id="rId384" ref="H385"/>
    <hyperlink r:id="rId385" ref="H386"/>
    <hyperlink r:id="rId386" ref="H387"/>
    <hyperlink r:id="rId387" ref="H388"/>
    <hyperlink r:id="rId388" ref="H389"/>
    <hyperlink r:id="rId389" ref="H390"/>
    <hyperlink r:id="rId390" ref="H391"/>
    <hyperlink r:id="rId391" ref="H392"/>
    <hyperlink r:id="rId392" ref="H393"/>
    <hyperlink r:id="rId393" location="038;masterkey=5d5d6526cc496" ref="H394"/>
    <hyperlink r:id="rId394" ref="H395"/>
    <hyperlink r:id="rId395" ref="H396"/>
    <hyperlink r:id="rId396" ref="H397"/>
    <hyperlink r:id="rId397" ref="H398"/>
    <hyperlink r:id="rId398" ref="H399"/>
    <hyperlink r:id="rId399" ref="H400"/>
    <hyperlink r:id="rId400" ref="H401"/>
    <hyperlink r:id="rId401" ref="H402"/>
    <hyperlink r:id="rId402" ref="H403"/>
    <hyperlink r:id="rId403" ref="H404"/>
    <hyperlink r:id="rId404" ref="H405"/>
    <hyperlink r:id="rId405" ref="H406"/>
    <hyperlink r:id="rId406" ref="H407"/>
    <hyperlink r:id="rId407" ref="H408"/>
    <hyperlink r:id="rId408" ref="H409"/>
    <hyperlink r:id="rId409" ref="H410"/>
    <hyperlink r:id="rId410" ref="H411"/>
    <hyperlink r:id="rId411" ref="H412"/>
    <hyperlink r:id="rId412" ref="H413"/>
    <hyperlink r:id="rId413" ref="H414"/>
    <hyperlink r:id="rId414" ref="H415"/>
    <hyperlink r:id="rId415" ref="H416"/>
    <hyperlink r:id="rId416" ref="H417"/>
    <hyperlink r:id="rId417" ref="H418"/>
    <hyperlink r:id="rId418" ref="H419"/>
    <hyperlink r:id="rId419" ref="H420"/>
    <hyperlink r:id="rId420" ref="H421"/>
    <hyperlink r:id="rId421" ref="H422"/>
    <hyperlink r:id="rId422" ref="H423"/>
    <hyperlink r:id="rId423" ref="H424"/>
    <hyperlink r:id="rId424" ref="H425"/>
    <hyperlink r:id="rId425" ref="H426"/>
    <hyperlink r:id="rId426" ref="H427"/>
    <hyperlink r:id="rId427" ref="H428"/>
    <hyperlink r:id="rId428" ref="H429"/>
    <hyperlink r:id="rId429" ref="H430"/>
    <hyperlink r:id="rId430" ref="H431"/>
    <hyperlink r:id="rId431" ref="H432"/>
    <hyperlink r:id="rId432" ref="H433"/>
    <hyperlink r:id="rId433" ref="H434"/>
    <hyperlink r:id="rId434" ref="H435"/>
    <hyperlink r:id="rId435" ref="H436"/>
    <hyperlink r:id="rId436" ref="H437"/>
    <hyperlink r:id="rId437" ref="H438"/>
    <hyperlink r:id="rId438" ref="H439"/>
    <hyperlink r:id="rId439" ref="H440"/>
    <hyperlink r:id="rId440" ref="H441"/>
    <hyperlink r:id="rId441" ref="H442"/>
    <hyperlink r:id="rId442" ref="H443"/>
    <hyperlink r:id="rId443" ref="H444"/>
    <hyperlink r:id="rId444" ref="H445"/>
    <hyperlink r:id="rId445" ref="H446"/>
    <hyperlink r:id="rId446" ref="H447"/>
    <hyperlink r:id="rId447" ref="H448"/>
    <hyperlink r:id="rId448" ref="H449"/>
    <hyperlink r:id="rId449" ref="H450"/>
    <hyperlink r:id="rId450" ref="H451"/>
    <hyperlink r:id="rId451" ref="H452"/>
    <hyperlink r:id="rId452" ref="H453"/>
    <hyperlink r:id="rId453" ref="H454"/>
    <hyperlink r:id="rId454" ref="H455"/>
    <hyperlink r:id="rId455" ref="H456"/>
    <hyperlink r:id="rId456" ref="H457"/>
    <hyperlink r:id="rId457" ref="H458"/>
    <hyperlink r:id="rId458" ref="H459"/>
    <hyperlink r:id="rId459" ref="H460"/>
    <hyperlink r:id="rId460" ref="H461"/>
    <hyperlink r:id="rId461" ref="H462"/>
    <hyperlink r:id="rId462" ref="H463"/>
    <hyperlink r:id="rId463" ref="H464"/>
    <hyperlink r:id="rId464" ref="H465"/>
    <hyperlink r:id="rId465" ref="H466"/>
    <hyperlink r:id="rId466" ref="H467"/>
    <hyperlink r:id="rId467" ref="H468"/>
    <hyperlink r:id="rId468" ref="H469"/>
    <hyperlink r:id="rId469" ref="H470"/>
    <hyperlink r:id="rId470" ref="H471"/>
    <hyperlink r:id="rId471" ref="H472"/>
    <hyperlink r:id="rId472" ref="H473"/>
    <hyperlink r:id="rId473" ref="H474"/>
    <hyperlink r:id="rId474" ref="H475"/>
    <hyperlink r:id="rId475" ref="H476"/>
    <hyperlink r:id="rId476" ref="H477"/>
  </hyperlinks>
  <drawing r:id="rId477"/>
  <tableParts count="1">
    <tablePart r:id="rId479"/>
  </tableParts>
</worksheet>
</file>